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nnect.moog.com/mcg/milpitas/Sales/bo/"/>
    </mc:Choice>
  </mc:AlternateContent>
  <xr:revisionPtr revIDLastSave="0" documentId="13_ncr:1_{3F2A064F-D675-4C2A-98B5-FF4E13E89D24}" xr6:coauthVersionLast="47" xr6:coauthVersionMax="47" xr10:uidLastSave="{00000000-0000-0000-0000-000000000000}"/>
  <workbookProtection workbookAlgorithmName="SHA-512" workbookHashValue="xVCTYggWyeqpVVAV+tf9LtiGOE1mGJg+5FqRdix9tCsKTtNvQ2Xh35vzBWIXlnzxGOxvixMBBLDGtQBJlSJjhw==" workbookSaltValue="iNlNP6qY9qKsg38elgLOag==" workbookSpinCount="100000" lockStructure="1"/>
  <bookViews>
    <workbookView xWindow="-108" yWindow="-108" windowWidth="23256" windowHeight="12576" xr2:uid="{00000000-000D-0000-FFFF-FFFF00000000}"/>
  </bookViews>
  <sheets>
    <sheet name="Generator" sheetId="2" r:id="rId1"/>
    <sheet name="DS-Version" sheetId="39" state="hidden" r:id="rId2"/>
    <sheet name="DS-Current" sheetId="40" state="hidden" r:id="rId3"/>
    <sheet name="CD-Flange" sheetId="33" state="hidden" r:id="rId4"/>
    <sheet name="CD-DCVoltage" sheetId="34" state="hidden" r:id="rId5"/>
    <sheet name="CD-Stack" sheetId="35" state="hidden" r:id="rId6"/>
    <sheet name="CD-Speed" sheetId="36" state="hidden" r:id="rId7"/>
    <sheet name="CD-Brake" sheetId="37" state="hidden" r:id="rId8"/>
    <sheet name="CD-StallTorque" sheetId="38" state="hidden" r:id="rId9"/>
    <sheet name="BOT-Series" sheetId="32" state="hidden" r:id="rId10"/>
    <sheet name="BOT-X" sheetId="28" state="hidden" r:id="rId11"/>
    <sheet name="BOT-Y" sheetId="29" state="hidden" r:id="rId12"/>
    <sheet name="BOT-Input Size" sheetId="30" state="hidden" r:id="rId13"/>
    <sheet name="BOT-Reduction" sheetId="31" state="hidden" r:id="rId14"/>
    <sheet name="M-Frame" sheetId="9" state="hidden" r:id="rId15"/>
    <sheet name="M-Stack" sheetId="14" state="hidden" r:id="rId16"/>
    <sheet name="M-Class" sheetId="16" state="hidden" r:id="rId17"/>
    <sheet name="M-Series" sheetId="15" state="hidden" r:id="rId18"/>
    <sheet name="M-DE" sheetId="10" state="hidden" r:id="rId19"/>
    <sheet name="M-BRK" sheetId="11" state="hidden" r:id="rId20"/>
    <sheet name="M-Fieldbus" sheetId="12" state="hidden" r:id="rId21"/>
    <sheet name="M-Expansion" sheetId="13" state="hidden" r:id="rId22"/>
    <sheet name="G-Frame" sheetId="17" state="hidden" r:id="rId23"/>
    <sheet name="G-Type" sheetId="18" state="hidden" r:id="rId24"/>
    <sheet name="G-Ratio" sheetId="20" state="hidden" r:id="rId25"/>
    <sheet name="G-Interface" sheetId="19" state="hidden" r:id="rId26"/>
    <sheet name="A-Type" sheetId="3" state="hidden" r:id="rId27"/>
    <sheet name="RA-Series" sheetId="22" state="hidden" r:id="rId28"/>
    <sheet name="RA-Hole" sheetId="24" state="hidden" r:id="rId29"/>
    <sheet name="A-Length" sheetId="4" state="hidden" r:id="rId30"/>
    <sheet name="A-Pitch" sheetId="5" state="hidden" r:id="rId31"/>
    <sheet name="A-Option" sheetId="6" state="hidden" r:id="rId32"/>
    <sheet name="A-Interface" sheetId="7" state="hidden" r:id="rId33"/>
    <sheet name="RA-Input Shaft" sheetId="25" state="hidden" r:id="rId34"/>
    <sheet name="RA-Orientation" sheetId="26" state="hidden" r:id="rId35"/>
    <sheet name="RA-Grease" sheetId="27" state="hidden" r:id="rId36"/>
    <sheet name="A-Special" sheetId="8" state="hidden" r:id="rId37"/>
  </sheets>
  <externalReferences>
    <externalReference r:id="rId38"/>
  </externalReferences>
  <definedNames>
    <definedName name="size2brakes">'[1]CD-Brake'!$B$3:$B$5</definedName>
    <definedName name="size2stacks">'[1]CD-Stack'!$B$3:$B$7</definedName>
    <definedName name="size3brakes">'[1]CD-Brake'!$F$3:$F$6</definedName>
    <definedName name="size3stacks">'[1]CD-Stack'!$E$3:$E$7</definedName>
    <definedName name="size4brakes">'[1]CD-Brake'!$J$3:$J$6</definedName>
    <definedName name="size4stacks">'[1]CD-Stack'!$H$3:$H$8</definedName>
  </definedNames>
  <calcPr calcId="191029"/>
  <customWorkbookViews>
    <customWorkbookView name="Custom1" guid="{52C17BD0-9019-43AE-9B1C-4B881AB3FBFD}" includeHiddenRowCol="0" yWindow="28" windowWidth="960" windowHeight="1052" tabRatio="643" activeSheetId="23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0" l="1"/>
  <c r="G3" i="40" s="1"/>
  <c r="F3" i="39"/>
  <c r="I3" i="39" s="1"/>
  <c r="F3" i="33"/>
  <c r="F3" i="34"/>
  <c r="G3" i="34" s="1"/>
  <c r="K3" i="35"/>
  <c r="L3" i="35"/>
  <c r="C16" i="37"/>
  <c r="B16" i="37"/>
  <c r="K35" i="2" l="1"/>
  <c r="C35" i="2"/>
  <c r="N3" i="36"/>
  <c r="G3" i="33"/>
  <c r="K9" i="2"/>
  <c r="T3" i="36" l="1"/>
  <c r="S3" i="36"/>
  <c r="C48" i="2" s="1"/>
  <c r="E2" i="38" s="1"/>
  <c r="K48" i="2" s="1"/>
  <c r="I45" i="2"/>
  <c r="A1" i="13"/>
  <c r="Q3" i="12"/>
  <c r="L3" i="12"/>
  <c r="K3" i="12"/>
  <c r="J3" i="12"/>
  <c r="A1" i="12"/>
  <c r="J9" i="13" s="1"/>
  <c r="D4" i="11"/>
  <c r="A1" i="11"/>
  <c r="A1" i="10"/>
  <c r="A3" i="10" s="1"/>
  <c r="A1" i="15"/>
  <c r="A1" i="16"/>
  <c r="A1" i="14"/>
  <c r="A1" i="9"/>
  <c r="L3" i="13"/>
  <c r="K16" i="12"/>
  <c r="K15" i="12"/>
  <c r="K14" i="12"/>
  <c r="K13" i="12"/>
  <c r="K12" i="12"/>
  <c r="K11" i="12"/>
  <c r="K10" i="12"/>
  <c r="K9" i="12"/>
  <c r="I2" i="11"/>
  <c r="H13" i="15"/>
  <c r="A4" i="15" s="1"/>
  <c r="F6" i="9"/>
  <c r="F5" i="9"/>
  <c r="F4" i="9"/>
  <c r="A3" i="9" l="1"/>
  <c r="H2" i="14"/>
  <c r="E5" i="14" s="1"/>
  <c r="I2" i="12"/>
  <c r="L12" i="12" s="1"/>
  <c r="H2" i="15"/>
  <c r="J2" i="13"/>
  <c r="E7" i="14" l="1"/>
  <c r="F7" i="14" s="1"/>
  <c r="D7" i="14" s="1"/>
  <c r="E4" i="14"/>
  <c r="F4" i="14" s="1"/>
  <c r="D4" i="14" s="1"/>
  <c r="E9" i="14"/>
  <c r="F9" i="14" s="1"/>
  <c r="D9" i="14" s="1"/>
  <c r="E10" i="14"/>
  <c r="F10" i="14" s="1"/>
  <c r="D10" i="14" s="1"/>
  <c r="E6" i="14"/>
  <c r="F6" i="14" s="1"/>
  <c r="D6" i="14" s="1"/>
  <c r="E8" i="14"/>
  <c r="F8" i="14" s="1"/>
  <c r="D8" i="14" s="1"/>
  <c r="F5" i="14"/>
  <c r="D5" i="14" s="1"/>
  <c r="A3" i="14" l="1"/>
  <c r="A2" i="14"/>
  <c r="J4" i="15" l="1"/>
  <c r="A2" i="9"/>
  <c r="D5" i="16" s="1"/>
  <c r="F15" i="10"/>
  <c r="K4" i="15"/>
  <c r="D4" i="16" l="1"/>
  <c r="E4" i="16" s="1"/>
  <c r="F5" i="16"/>
  <c r="A3" i="16" l="1"/>
  <c r="E5" i="16"/>
  <c r="A2" i="16" s="1"/>
  <c r="I4" i="15" l="1"/>
  <c r="E4" i="15" s="1"/>
  <c r="F4" i="15" s="1"/>
  <c r="D4" i="15" s="1"/>
  <c r="K5" i="15"/>
  <c r="E6" i="15" s="1"/>
  <c r="F6" i="15" s="1"/>
  <c r="D6" i="15" s="1"/>
  <c r="E5" i="11"/>
  <c r="D5" i="11"/>
  <c r="D8" i="11"/>
  <c r="M4" i="15"/>
  <c r="E8" i="15" s="1"/>
  <c r="F8" i="15" s="1"/>
  <c r="D8" i="15" s="1"/>
  <c r="L4" i="15"/>
  <c r="J5" i="15"/>
  <c r="M5" i="15"/>
  <c r="E8" i="11"/>
  <c r="E7" i="15" l="1"/>
  <c r="F7" i="15" s="1"/>
  <c r="E5" i="15"/>
  <c r="F5" i="15" s="1"/>
  <c r="D5" i="15" s="1"/>
  <c r="D7" i="15" l="1"/>
  <c r="A2" i="15" s="1"/>
  <c r="K19" i="12" s="1"/>
  <c r="A3" i="15" l="1"/>
  <c r="D6" i="13"/>
  <c r="E7" i="13"/>
  <c r="D9" i="13"/>
  <c r="D7" i="11"/>
  <c r="E6" i="13"/>
  <c r="E6" i="11"/>
  <c r="E7" i="11"/>
  <c r="D6" i="11"/>
  <c r="M19" i="12"/>
  <c r="M5" i="12" s="1"/>
  <c r="Q4" i="12"/>
  <c r="L9" i="12" s="1"/>
  <c r="Q5" i="12"/>
  <c r="D14" i="10"/>
  <c r="E8" i="13"/>
  <c r="N19" i="12"/>
  <c r="N5" i="12" s="1"/>
  <c r="D8" i="13"/>
  <c r="O19" i="12"/>
  <c r="O5" i="12" s="1"/>
  <c r="D7" i="13"/>
  <c r="L19" i="12"/>
  <c r="L5" i="12" s="1"/>
  <c r="E9" i="13"/>
  <c r="J19" i="12"/>
  <c r="K5" i="12"/>
  <c r="K4" i="12"/>
  <c r="J5" i="12" l="1"/>
  <c r="J4" i="12"/>
  <c r="E4" i="12" s="1"/>
  <c r="E5" i="10"/>
  <c r="F5" i="10" s="1"/>
  <c r="D5" i="10" s="1"/>
  <c r="G5" i="10" s="1"/>
  <c r="E6" i="10"/>
  <c r="F6" i="10" s="1"/>
  <c r="D6" i="10" s="1"/>
  <c r="E4" i="10"/>
  <c r="F4" i="10" s="1"/>
  <c r="D4" i="10" s="1"/>
  <c r="N4" i="12"/>
  <c r="E8" i="12" s="1"/>
  <c r="F8" i="12" s="1"/>
  <c r="L4" i="12"/>
  <c r="E6" i="12" s="1"/>
  <c r="F6" i="12" s="1"/>
  <c r="O4" i="12"/>
  <c r="E9" i="12" s="1"/>
  <c r="A5" i="11"/>
  <c r="M4" i="12"/>
  <c r="E7" i="12" s="1"/>
  <c r="L11" i="12"/>
  <c r="A2" i="11"/>
  <c r="A3" i="11"/>
  <c r="E5" i="12"/>
  <c r="D5" i="12" s="1"/>
  <c r="G7" i="12" l="1"/>
  <c r="D9" i="12"/>
  <c r="G9" i="12"/>
  <c r="F9" i="12"/>
  <c r="D7" i="12"/>
  <c r="F7" i="12"/>
  <c r="G6" i="12"/>
  <c r="D6" i="12"/>
  <c r="D8" i="12"/>
  <c r="G8" i="12"/>
  <c r="D4" i="12"/>
  <c r="F4" i="12"/>
  <c r="G4" i="12"/>
  <c r="G5" i="12"/>
  <c r="F5" i="12"/>
  <c r="A2" i="10"/>
  <c r="G4" i="10"/>
  <c r="A4" i="10" s="1"/>
  <c r="A2" i="12" l="1"/>
  <c r="D5" i="13" s="1"/>
  <c r="A3" i="12"/>
  <c r="A4" i="12"/>
  <c r="E5" i="13" l="1"/>
  <c r="A3" i="13"/>
  <c r="A5" i="13"/>
  <c r="A4" i="13"/>
  <c r="A2" i="13"/>
  <c r="R20" i="2" l="1"/>
  <c r="A1" i="31" l="1"/>
  <c r="A1" i="30" l="1"/>
  <c r="A1" i="29"/>
  <c r="A1" i="28" l="1"/>
  <c r="A1" i="32"/>
  <c r="A3" i="32" l="1"/>
  <c r="H2" i="30"/>
  <c r="H2" i="31"/>
  <c r="A5" i="31" s="1"/>
  <c r="I2" i="29"/>
  <c r="I2" i="28"/>
  <c r="E4" i="28" s="1"/>
  <c r="F4" i="28" s="1"/>
  <c r="A2" i="32"/>
  <c r="E6" i="29" l="1"/>
  <c r="F6" i="29" s="1"/>
  <c r="D6" i="29" s="1"/>
  <c r="E4" i="29"/>
  <c r="F4" i="29" s="1"/>
  <c r="D4" i="29" s="1"/>
  <c r="E5" i="29"/>
  <c r="F5" i="29" s="1"/>
  <c r="D5" i="29" s="1"/>
  <c r="E8" i="31"/>
  <c r="E7" i="31"/>
  <c r="E6" i="31"/>
  <c r="E5" i="31"/>
  <c r="E4" i="31"/>
  <c r="E5" i="30"/>
  <c r="E6" i="30"/>
  <c r="E7" i="30"/>
  <c r="E4" i="30"/>
  <c r="E8" i="30"/>
  <c r="E5" i="28"/>
  <c r="F5" i="28" s="1"/>
  <c r="E6" i="28"/>
  <c r="F6" i="28" s="1"/>
  <c r="D4" i="28"/>
  <c r="F4" i="30" l="1"/>
  <c r="D4" i="30"/>
  <c r="F4" i="31"/>
  <c r="D4" i="31"/>
  <c r="F5" i="31"/>
  <c r="D5" i="31"/>
  <c r="A5" i="29"/>
  <c r="A4" i="29"/>
  <c r="A2" i="29"/>
  <c r="A3" i="29"/>
  <c r="D6" i="30"/>
  <c r="F6" i="30"/>
  <c r="F6" i="31"/>
  <c r="D6" i="31"/>
  <c r="D8" i="30"/>
  <c r="F8" i="30"/>
  <c r="F5" i="30"/>
  <c r="D5" i="30"/>
  <c r="D7" i="31"/>
  <c r="F7" i="31"/>
  <c r="F8" i="31"/>
  <c r="D8" i="31"/>
  <c r="F7" i="30"/>
  <c r="D7" i="30"/>
  <c r="D6" i="28"/>
  <c r="D5" i="28"/>
  <c r="A3" i="28" l="1"/>
  <c r="A5" i="28"/>
  <c r="A2" i="30"/>
  <c r="A3" i="30"/>
  <c r="A2" i="31"/>
  <c r="A3" i="31"/>
  <c r="A4" i="28"/>
  <c r="A2" i="28"/>
  <c r="I18" i="31" s="1"/>
  <c r="A4" i="31" l="1"/>
  <c r="L9" i="2" l="1"/>
  <c r="A1" i="24" l="1"/>
  <c r="A1" i="27"/>
  <c r="A1" i="26"/>
  <c r="A2" i="26" s="1"/>
  <c r="A1" i="25"/>
  <c r="A1" i="22"/>
  <c r="H2" i="25" s="1"/>
  <c r="A3" i="27" l="1"/>
  <c r="A5" i="27"/>
  <c r="A2" i="27"/>
  <c r="A2" i="22"/>
  <c r="E4" i="25"/>
  <c r="F4" i="25" s="1"/>
  <c r="E8" i="25"/>
  <c r="F8" i="25" s="1"/>
  <c r="E5" i="25"/>
  <c r="F5" i="25" s="1"/>
  <c r="E7" i="25"/>
  <c r="D7" i="25" s="1"/>
  <c r="A3" i="22"/>
  <c r="H2" i="24"/>
  <c r="A3" i="26"/>
  <c r="E6" i="25"/>
  <c r="D6" i="25" s="1"/>
  <c r="F7" i="25" l="1"/>
  <c r="D4" i="25"/>
  <c r="E5" i="24"/>
  <c r="F5" i="24" s="1"/>
  <c r="D5" i="24" s="1"/>
  <c r="E6" i="24"/>
  <c r="F6" i="24" s="1"/>
  <c r="D6" i="24" s="1"/>
  <c r="E7" i="24"/>
  <c r="F7" i="24" s="1"/>
  <c r="D7" i="24" s="1"/>
  <c r="E4" i="24"/>
  <c r="F4" i="24" s="1"/>
  <c r="D4" i="24" s="1"/>
  <c r="D8" i="25"/>
  <c r="D5" i="25"/>
  <c r="F6" i="25"/>
  <c r="J12" i="4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AP12" i="4" s="1"/>
  <c r="AQ12" i="4" s="1"/>
  <c r="AR12" i="4" s="1"/>
  <c r="AS12" i="4" s="1"/>
  <c r="AT12" i="4" s="1"/>
  <c r="AU12" i="4" s="1"/>
  <c r="AV12" i="4" s="1"/>
  <c r="AW12" i="4" s="1"/>
  <c r="AX12" i="4" s="1"/>
  <c r="AY12" i="4" s="1"/>
  <c r="AZ12" i="4" s="1"/>
  <c r="BA12" i="4" s="1"/>
  <c r="BB12" i="4" s="1"/>
  <c r="BC12" i="4" s="1"/>
  <c r="BD12" i="4" s="1"/>
  <c r="BE12" i="4" s="1"/>
  <c r="BF12" i="4" s="1"/>
  <c r="BG12" i="4" s="1"/>
  <c r="BH12" i="4" s="1"/>
  <c r="BI12" i="4" s="1"/>
  <c r="BJ12" i="4" s="1"/>
  <c r="BK12" i="4" s="1"/>
  <c r="BL12" i="4" s="1"/>
  <c r="BM12" i="4" s="1"/>
  <c r="BN12" i="4" s="1"/>
  <c r="K11" i="4"/>
  <c r="L11" i="4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AJ11" i="4" s="1"/>
  <c r="AK11" i="4" s="1"/>
  <c r="AL11" i="4" s="1"/>
  <c r="AM11" i="4" s="1"/>
  <c r="AN11" i="4" s="1"/>
  <c r="AO11" i="4" s="1"/>
  <c r="AP11" i="4" s="1"/>
  <c r="AQ11" i="4" s="1"/>
  <c r="AR11" i="4" s="1"/>
  <c r="AS11" i="4" s="1"/>
  <c r="AT11" i="4" s="1"/>
  <c r="AU11" i="4" s="1"/>
  <c r="AV11" i="4" s="1"/>
  <c r="AW11" i="4" s="1"/>
  <c r="AX11" i="4" s="1"/>
  <c r="AY11" i="4" s="1"/>
  <c r="AZ11" i="4" s="1"/>
  <c r="BA11" i="4" s="1"/>
  <c r="BB11" i="4" s="1"/>
  <c r="BC11" i="4" s="1"/>
  <c r="BD11" i="4" s="1"/>
  <c r="BE11" i="4" s="1"/>
  <c r="BF11" i="4" s="1"/>
  <c r="BG11" i="4" s="1"/>
  <c r="BH11" i="4" s="1"/>
  <c r="BI11" i="4" s="1"/>
  <c r="BJ11" i="4" s="1"/>
  <c r="BK11" i="4" s="1"/>
  <c r="BL11" i="4" s="1"/>
  <c r="BM11" i="4" s="1"/>
  <c r="BN11" i="4" s="1"/>
  <c r="J11" i="4"/>
  <c r="A5" i="24" l="1"/>
  <c r="A3" i="25"/>
  <c r="A2" i="25"/>
  <c r="A3" i="24"/>
  <c r="A2" i="24"/>
  <c r="H2" i="27" s="1"/>
  <c r="A4" i="27" s="1"/>
  <c r="AA3" i="20"/>
  <c r="Z3" i="20"/>
  <c r="AA5" i="20"/>
  <c r="Z5" i="20"/>
  <c r="Z4" i="20"/>
  <c r="Y5" i="20"/>
  <c r="Y4" i="20"/>
  <c r="Y3" i="20"/>
  <c r="F6" i="17" l="1"/>
  <c r="F5" i="17"/>
  <c r="F4" i="17"/>
  <c r="A1" i="19"/>
  <c r="A1" i="20"/>
  <c r="A1" i="18"/>
  <c r="A1" i="17"/>
  <c r="A2" i="17" s="1"/>
  <c r="H2" i="19" l="1"/>
  <c r="X2" i="20"/>
  <c r="I2" i="18"/>
  <c r="A3" i="17"/>
  <c r="E5" i="19" l="1"/>
  <c r="F5" i="19" s="1"/>
  <c r="D5" i="19" s="1"/>
  <c r="I7" i="19"/>
  <c r="G5" i="18"/>
  <c r="G6" i="18"/>
  <c r="G4" i="18"/>
  <c r="E4" i="19"/>
  <c r="Y10" i="20"/>
  <c r="Y11" i="20"/>
  <c r="Y9" i="20"/>
  <c r="F4" i="19" l="1"/>
  <c r="D4" i="19" s="1"/>
  <c r="A2" i="19" s="1"/>
  <c r="E6" i="18"/>
  <c r="E5" i="18"/>
  <c r="E4" i="18"/>
  <c r="A3" i="19" l="1"/>
  <c r="F4" i="18"/>
  <c r="D4" i="18" s="1"/>
  <c r="F5" i="18"/>
  <c r="D5" i="18" s="1"/>
  <c r="F6" i="18"/>
  <c r="D6" i="18" s="1"/>
  <c r="A1" i="7"/>
  <c r="A1" i="8"/>
  <c r="A1" i="6"/>
  <c r="A1" i="5"/>
  <c r="A5" i="18" l="1"/>
  <c r="A3" i="18"/>
  <c r="A2" i="18"/>
  <c r="X8" i="20" s="1"/>
  <c r="Z2" i="20" s="1"/>
  <c r="A1" i="4"/>
  <c r="A1" i="3"/>
  <c r="A3" i="3" l="1"/>
  <c r="A2" i="3"/>
  <c r="H2" i="7"/>
  <c r="I2" i="20"/>
  <c r="E6" i="20" s="1"/>
  <c r="G6" i="20" s="1"/>
  <c r="H2" i="8"/>
  <c r="H2" i="5"/>
  <c r="H2" i="6"/>
  <c r="H2" i="4"/>
  <c r="E7" i="6" l="1"/>
  <c r="E8" i="6"/>
  <c r="E5" i="6"/>
  <c r="E4" i="6"/>
  <c r="E6" i="6"/>
  <c r="E4" i="7"/>
  <c r="D4" i="7" s="1"/>
  <c r="E7" i="7"/>
  <c r="E8" i="7"/>
  <c r="E5" i="7"/>
  <c r="D5" i="7" s="1"/>
  <c r="E6" i="7"/>
  <c r="D6" i="7" s="1"/>
  <c r="E4" i="5"/>
  <c r="E5" i="5"/>
  <c r="E6" i="5"/>
  <c r="E7" i="5"/>
  <c r="E7" i="4"/>
  <c r="D7" i="4" s="1"/>
  <c r="F7" i="4" s="1"/>
  <c r="E11" i="4"/>
  <c r="D11" i="4" s="1"/>
  <c r="F11" i="4" s="1"/>
  <c r="E15" i="4"/>
  <c r="D15" i="4" s="1"/>
  <c r="F15" i="4" s="1"/>
  <c r="E19" i="4"/>
  <c r="D19" i="4" s="1"/>
  <c r="F19" i="4" s="1"/>
  <c r="E23" i="4"/>
  <c r="D23" i="4" s="1"/>
  <c r="F23" i="4" s="1"/>
  <c r="E27" i="4"/>
  <c r="D27" i="4" s="1"/>
  <c r="F27" i="4" s="1"/>
  <c r="E31" i="4"/>
  <c r="D31" i="4" s="1"/>
  <c r="F31" i="4" s="1"/>
  <c r="E35" i="4"/>
  <c r="D35" i="4" s="1"/>
  <c r="F35" i="4" s="1"/>
  <c r="E39" i="4"/>
  <c r="D39" i="4" s="1"/>
  <c r="F39" i="4" s="1"/>
  <c r="E43" i="4"/>
  <c r="D43" i="4" s="1"/>
  <c r="F43" i="4" s="1"/>
  <c r="E47" i="4"/>
  <c r="D47" i="4" s="1"/>
  <c r="F47" i="4" s="1"/>
  <c r="E51" i="4"/>
  <c r="D51" i="4" s="1"/>
  <c r="F51" i="4" s="1"/>
  <c r="E55" i="4"/>
  <c r="D55" i="4" s="1"/>
  <c r="F55" i="4" s="1"/>
  <c r="E59" i="4"/>
  <c r="D59" i="4" s="1"/>
  <c r="F59" i="4" s="1"/>
  <c r="E63" i="4"/>
  <c r="D63" i="4" s="1"/>
  <c r="F63" i="4" s="1"/>
  <c r="E67" i="4"/>
  <c r="D67" i="4" s="1"/>
  <c r="F67" i="4" s="1"/>
  <c r="E71" i="4"/>
  <c r="D71" i="4" s="1"/>
  <c r="F71" i="4" s="1"/>
  <c r="E75" i="4"/>
  <c r="D75" i="4" s="1"/>
  <c r="F75" i="4" s="1"/>
  <c r="E79" i="4"/>
  <c r="D79" i="4" s="1"/>
  <c r="F79" i="4" s="1"/>
  <c r="E83" i="4"/>
  <c r="D83" i="4" s="1"/>
  <c r="F83" i="4" s="1"/>
  <c r="E87" i="4"/>
  <c r="D87" i="4" s="1"/>
  <c r="F87" i="4" s="1"/>
  <c r="E91" i="4"/>
  <c r="D91" i="4" s="1"/>
  <c r="F91" i="4" s="1"/>
  <c r="E95" i="4"/>
  <c r="D95" i="4" s="1"/>
  <c r="F95" i="4" s="1"/>
  <c r="E99" i="4"/>
  <c r="D99" i="4" s="1"/>
  <c r="F99" i="4" s="1"/>
  <c r="E103" i="4"/>
  <c r="D103" i="4" s="1"/>
  <c r="F103" i="4" s="1"/>
  <c r="E107" i="4"/>
  <c r="D107" i="4" s="1"/>
  <c r="F107" i="4" s="1"/>
  <c r="E111" i="4"/>
  <c r="D111" i="4" s="1"/>
  <c r="F111" i="4" s="1"/>
  <c r="E115" i="4"/>
  <c r="D115" i="4" s="1"/>
  <c r="F115" i="4" s="1"/>
  <c r="E119" i="4"/>
  <c r="D119" i="4" s="1"/>
  <c r="F119" i="4" s="1"/>
  <c r="E123" i="4"/>
  <c r="D123" i="4" s="1"/>
  <c r="F123" i="4" s="1"/>
  <c r="E127" i="4"/>
  <c r="D127" i="4" s="1"/>
  <c r="F127" i="4" s="1"/>
  <c r="E131" i="4"/>
  <c r="D131" i="4" s="1"/>
  <c r="F131" i="4" s="1"/>
  <c r="E135" i="4"/>
  <c r="D135" i="4" s="1"/>
  <c r="F135" i="4" s="1"/>
  <c r="E139" i="4"/>
  <c r="D139" i="4" s="1"/>
  <c r="F139" i="4" s="1"/>
  <c r="E143" i="4"/>
  <c r="D143" i="4" s="1"/>
  <c r="F143" i="4" s="1"/>
  <c r="E147" i="4"/>
  <c r="D147" i="4" s="1"/>
  <c r="F147" i="4" s="1"/>
  <c r="E151" i="4"/>
  <c r="D151" i="4" s="1"/>
  <c r="F151" i="4" s="1"/>
  <c r="E155" i="4"/>
  <c r="D155" i="4" s="1"/>
  <c r="F155" i="4" s="1"/>
  <c r="E159" i="4"/>
  <c r="D159" i="4" s="1"/>
  <c r="F159" i="4" s="1"/>
  <c r="E163" i="4"/>
  <c r="D163" i="4" s="1"/>
  <c r="F163" i="4" s="1"/>
  <c r="E167" i="4"/>
  <c r="D167" i="4" s="1"/>
  <c r="F167" i="4" s="1"/>
  <c r="E171" i="4"/>
  <c r="D171" i="4" s="1"/>
  <c r="F171" i="4" s="1"/>
  <c r="E175" i="4"/>
  <c r="D175" i="4" s="1"/>
  <c r="F175" i="4" s="1"/>
  <c r="E179" i="4"/>
  <c r="D179" i="4" s="1"/>
  <c r="F179" i="4" s="1"/>
  <c r="E183" i="4"/>
  <c r="D183" i="4" s="1"/>
  <c r="F183" i="4" s="1"/>
  <c r="E187" i="4"/>
  <c r="D187" i="4" s="1"/>
  <c r="F187" i="4" s="1"/>
  <c r="E191" i="4"/>
  <c r="D191" i="4" s="1"/>
  <c r="F191" i="4" s="1"/>
  <c r="E195" i="4"/>
  <c r="D195" i="4" s="1"/>
  <c r="F195" i="4" s="1"/>
  <c r="E199" i="4"/>
  <c r="D199" i="4" s="1"/>
  <c r="F199" i="4" s="1"/>
  <c r="E203" i="4"/>
  <c r="D203" i="4" s="1"/>
  <c r="F203" i="4" s="1"/>
  <c r="E207" i="4"/>
  <c r="D207" i="4" s="1"/>
  <c r="F207" i="4" s="1"/>
  <c r="E211" i="4"/>
  <c r="D211" i="4" s="1"/>
  <c r="F211" i="4" s="1"/>
  <c r="E215" i="4"/>
  <c r="D215" i="4" s="1"/>
  <c r="F215" i="4" s="1"/>
  <c r="E219" i="4"/>
  <c r="D219" i="4" s="1"/>
  <c r="F219" i="4" s="1"/>
  <c r="E223" i="4"/>
  <c r="D223" i="4" s="1"/>
  <c r="F223" i="4" s="1"/>
  <c r="E227" i="4"/>
  <c r="D227" i="4" s="1"/>
  <c r="F227" i="4" s="1"/>
  <c r="E231" i="4"/>
  <c r="D231" i="4" s="1"/>
  <c r="F231" i="4" s="1"/>
  <c r="E235" i="4"/>
  <c r="D235" i="4" s="1"/>
  <c r="F235" i="4" s="1"/>
  <c r="E239" i="4"/>
  <c r="D239" i="4" s="1"/>
  <c r="F239" i="4" s="1"/>
  <c r="E243" i="4"/>
  <c r="D243" i="4" s="1"/>
  <c r="F243" i="4" s="1"/>
  <c r="E8" i="4"/>
  <c r="D8" i="4" s="1"/>
  <c r="F8" i="4" s="1"/>
  <c r="E12" i="4"/>
  <c r="D12" i="4" s="1"/>
  <c r="F12" i="4" s="1"/>
  <c r="E16" i="4"/>
  <c r="D16" i="4" s="1"/>
  <c r="F16" i="4" s="1"/>
  <c r="E20" i="4"/>
  <c r="D20" i="4" s="1"/>
  <c r="F20" i="4" s="1"/>
  <c r="E24" i="4"/>
  <c r="D24" i="4" s="1"/>
  <c r="F24" i="4" s="1"/>
  <c r="E28" i="4"/>
  <c r="D28" i="4" s="1"/>
  <c r="F28" i="4" s="1"/>
  <c r="E32" i="4"/>
  <c r="D32" i="4" s="1"/>
  <c r="F32" i="4" s="1"/>
  <c r="E36" i="4"/>
  <c r="D36" i="4" s="1"/>
  <c r="F36" i="4" s="1"/>
  <c r="E40" i="4"/>
  <c r="D40" i="4" s="1"/>
  <c r="F40" i="4" s="1"/>
  <c r="E44" i="4"/>
  <c r="D44" i="4" s="1"/>
  <c r="F44" i="4" s="1"/>
  <c r="E48" i="4"/>
  <c r="D48" i="4" s="1"/>
  <c r="F48" i="4" s="1"/>
  <c r="E52" i="4"/>
  <c r="D52" i="4" s="1"/>
  <c r="F52" i="4" s="1"/>
  <c r="E56" i="4"/>
  <c r="D56" i="4" s="1"/>
  <c r="F56" i="4" s="1"/>
  <c r="E60" i="4"/>
  <c r="D60" i="4" s="1"/>
  <c r="F60" i="4" s="1"/>
  <c r="E64" i="4"/>
  <c r="D64" i="4" s="1"/>
  <c r="F64" i="4" s="1"/>
  <c r="E68" i="4"/>
  <c r="D68" i="4" s="1"/>
  <c r="F68" i="4" s="1"/>
  <c r="E72" i="4"/>
  <c r="D72" i="4" s="1"/>
  <c r="F72" i="4" s="1"/>
  <c r="E76" i="4"/>
  <c r="D76" i="4" s="1"/>
  <c r="F76" i="4" s="1"/>
  <c r="E80" i="4"/>
  <c r="D80" i="4" s="1"/>
  <c r="F80" i="4" s="1"/>
  <c r="E84" i="4"/>
  <c r="D84" i="4" s="1"/>
  <c r="F84" i="4" s="1"/>
  <c r="E88" i="4"/>
  <c r="D88" i="4" s="1"/>
  <c r="F88" i="4" s="1"/>
  <c r="E92" i="4"/>
  <c r="D92" i="4" s="1"/>
  <c r="F92" i="4" s="1"/>
  <c r="E96" i="4"/>
  <c r="D96" i="4" s="1"/>
  <c r="F96" i="4" s="1"/>
  <c r="E100" i="4"/>
  <c r="D100" i="4" s="1"/>
  <c r="F100" i="4" s="1"/>
  <c r="E104" i="4"/>
  <c r="D104" i="4" s="1"/>
  <c r="F104" i="4" s="1"/>
  <c r="E6" i="4"/>
  <c r="D6" i="4" s="1"/>
  <c r="F6" i="4" s="1"/>
  <c r="E14" i="4"/>
  <c r="D14" i="4" s="1"/>
  <c r="F14" i="4" s="1"/>
  <c r="E22" i="4"/>
  <c r="D22" i="4" s="1"/>
  <c r="F22" i="4" s="1"/>
  <c r="E30" i="4"/>
  <c r="D30" i="4" s="1"/>
  <c r="F30" i="4" s="1"/>
  <c r="E38" i="4"/>
  <c r="D38" i="4" s="1"/>
  <c r="F38" i="4" s="1"/>
  <c r="E46" i="4"/>
  <c r="D46" i="4" s="1"/>
  <c r="F46" i="4" s="1"/>
  <c r="E54" i="4"/>
  <c r="D54" i="4" s="1"/>
  <c r="F54" i="4" s="1"/>
  <c r="E62" i="4"/>
  <c r="D62" i="4" s="1"/>
  <c r="F62" i="4" s="1"/>
  <c r="E70" i="4"/>
  <c r="D70" i="4" s="1"/>
  <c r="F70" i="4" s="1"/>
  <c r="E78" i="4"/>
  <c r="D78" i="4" s="1"/>
  <c r="F78" i="4" s="1"/>
  <c r="E86" i="4"/>
  <c r="D86" i="4" s="1"/>
  <c r="F86" i="4" s="1"/>
  <c r="E94" i="4"/>
  <c r="D94" i="4" s="1"/>
  <c r="F94" i="4" s="1"/>
  <c r="E102" i="4"/>
  <c r="D102" i="4" s="1"/>
  <c r="F102" i="4" s="1"/>
  <c r="E109" i="4"/>
  <c r="D109" i="4" s="1"/>
  <c r="F109" i="4" s="1"/>
  <c r="E114" i="4"/>
  <c r="D114" i="4" s="1"/>
  <c r="F114" i="4" s="1"/>
  <c r="E120" i="4"/>
  <c r="D120" i="4" s="1"/>
  <c r="F120" i="4" s="1"/>
  <c r="E125" i="4"/>
  <c r="D125" i="4" s="1"/>
  <c r="F125" i="4" s="1"/>
  <c r="E130" i="4"/>
  <c r="D130" i="4" s="1"/>
  <c r="F130" i="4" s="1"/>
  <c r="E136" i="4"/>
  <c r="D136" i="4" s="1"/>
  <c r="F136" i="4" s="1"/>
  <c r="E141" i="4"/>
  <c r="D141" i="4" s="1"/>
  <c r="F141" i="4" s="1"/>
  <c r="E146" i="4"/>
  <c r="D146" i="4" s="1"/>
  <c r="F146" i="4" s="1"/>
  <c r="E152" i="4"/>
  <c r="D152" i="4" s="1"/>
  <c r="F152" i="4" s="1"/>
  <c r="E157" i="4"/>
  <c r="D157" i="4" s="1"/>
  <c r="F157" i="4" s="1"/>
  <c r="E162" i="4"/>
  <c r="D162" i="4" s="1"/>
  <c r="F162" i="4" s="1"/>
  <c r="E168" i="4"/>
  <c r="D168" i="4" s="1"/>
  <c r="F168" i="4" s="1"/>
  <c r="E173" i="4"/>
  <c r="D173" i="4" s="1"/>
  <c r="F173" i="4" s="1"/>
  <c r="E178" i="4"/>
  <c r="D178" i="4" s="1"/>
  <c r="F178" i="4" s="1"/>
  <c r="E184" i="4"/>
  <c r="D184" i="4" s="1"/>
  <c r="F184" i="4" s="1"/>
  <c r="E189" i="4"/>
  <c r="D189" i="4" s="1"/>
  <c r="F189" i="4" s="1"/>
  <c r="E194" i="4"/>
  <c r="D194" i="4" s="1"/>
  <c r="F194" i="4" s="1"/>
  <c r="E200" i="4"/>
  <c r="D200" i="4" s="1"/>
  <c r="F200" i="4" s="1"/>
  <c r="E205" i="4"/>
  <c r="D205" i="4" s="1"/>
  <c r="F205" i="4" s="1"/>
  <c r="E210" i="4"/>
  <c r="D210" i="4" s="1"/>
  <c r="F210" i="4" s="1"/>
  <c r="E216" i="4"/>
  <c r="D216" i="4" s="1"/>
  <c r="F216" i="4" s="1"/>
  <c r="E221" i="4"/>
  <c r="D221" i="4" s="1"/>
  <c r="F221" i="4" s="1"/>
  <c r="E226" i="4"/>
  <c r="D226" i="4" s="1"/>
  <c r="F226" i="4" s="1"/>
  <c r="E232" i="4"/>
  <c r="D232" i="4" s="1"/>
  <c r="F232" i="4" s="1"/>
  <c r="E237" i="4"/>
  <c r="D237" i="4" s="1"/>
  <c r="F237" i="4" s="1"/>
  <c r="E242" i="4"/>
  <c r="D242" i="4" s="1"/>
  <c r="F242" i="4" s="1"/>
  <c r="E9" i="4"/>
  <c r="D9" i="4" s="1"/>
  <c r="F9" i="4" s="1"/>
  <c r="E17" i="4"/>
  <c r="D17" i="4" s="1"/>
  <c r="F17" i="4" s="1"/>
  <c r="E25" i="4"/>
  <c r="D25" i="4" s="1"/>
  <c r="F25" i="4" s="1"/>
  <c r="E33" i="4"/>
  <c r="D33" i="4" s="1"/>
  <c r="F33" i="4" s="1"/>
  <c r="E41" i="4"/>
  <c r="D41" i="4" s="1"/>
  <c r="F41" i="4" s="1"/>
  <c r="E49" i="4"/>
  <c r="D49" i="4" s="1"/>
  <c r="F49" i="4" s="1"/>
  <c r="E57" i="4"/>
  <c r="D57" i="4" s="1"/>
  <c r="F57" i="4" s="1"/>
  <c r="E65" i="4"/>
  <c r="D65" i="4" s="1"/>
  <c r="F65" i="4" s="1"/>
  <c r="E73" i="4"/>
  <c r="D73" i="4" s="1"/>
  <c r="F73" i="4" s="1"/>
  <c r="E81" i="4"/>
  <c r="D81" i="4" s="1"/>
  <c r="F81" i="4" s="1"/>
  <c r="E89" i="4"/>
  <c r="D89" i="4" s="1"/>
  <c r="F89" i="4" s="1"/>
  <c r="E97" i="4"/>
  <c r="D97" i="4" s="1"/>
  <c r="F97" i="4" s="1"/>
  <c r="E105" i="4"/>
  <c r="D105" i="4" s="1"/>
  <c r="F105" i="4" s="1"/>
  <c r="E110" i="4"/>
  <c r="D110" i="4" s="1"/>
  <c r="F110" i="4" s="1"/>
  <c r="E116" i="4"/>
  <c r="D116" i="4" s="1"/>
  <c r="F116" i="4" s="1"/>
  <c r="E121" i="4"/>
  <c r="D121" i="4" s="1"/>
  <c r="F121" i="4" s="1"/>
  <c r="E126" i="4"/>
  <c r="D126" i="4" s="1"/>
  <c r="F126" i="4" s="1"/>
  <c r="E132" i="4"/>
  <c r="D132" i="4" s="1"/>
  <c r="F132" i="4" s="1"/>
  <c r="E137" i="4"/>
  <c r="D137" i="4" s="1"/>
  <c r="F137" i="4" s="1"/>
  <c r="E142" i="4"/>
  <c r="D142" i="4" s="1"/>
  <c r="F142" i="4" s="1"/>
  <c r="E148" i="4"/>
  <c r="D148" i="4" s="1"/>
  <c r="F148" i="4" s="1"/>
  <c r="E153" i="4"/>
  <c r="D153" i="4" s="1"/>
  <c r="F153" i="4" s="1"/>
  <c r="E158" i="4"/>
  <c r="D158" i="4" s="1"/>
  <c r="F158" i="4" s="1"/>
  <c r="E164" i="4"/>
  <c r="D164" i="4" s="1"/>
  <c r="F164" i="4" s="1"/>
  <c r="E169" i="4"/>
  <c r="D169" i="4" s="1"/>
  <c r="F169" i="4" s="1"/>
  <c r="E174" i="4"/>
  <c r="D174" i="4" s="1"/>
  <c r="F174" i="4" s="1"/>
  <c r="E180" i="4"/>
  <c r="D180" i="4" s="1"/>
  <c r="F180" i="4" s="1"/>
  <c r="E185" i="4"/>
  <c r="D185" i="4" s="1"/>
  <c r="F185" i="4" s="1"/>
  <c r="E190" i="4"/>
  <c r="D190" i="4" s="1"/>
  <c r="F190" i="4" s="1"/>
  <c r="E196" i="4"/>
  <c r="D196" i="4" s="1"/>
  <c r="F196" i="4" s="1"/>
  <c r="E201" i="4"/>
  <c r="D201" i="4" s="1"/>
  <c r="F201" i="4" s="1"/>
  <c r="E206" i="4"/>
  <c r="D206" i="4" s="1"/>
  <c r="F206" i="4" s="1"/>
  <c r="E212" i="4"/>
  <c r="D212" i="4" s="1"/>
  <c r="F212" i="4" s="1"/>
  <c r="E217" i="4"/>
  <c r="D217" i="4" s="1"/>
  <c r="F217" i="4" s="1"/>
  <c r="E222" i="4"/>
  <c r="D222" i="4" s="1"/>
  <c r="F222" i="4" s="1"/>
  <c r="E228" i="4"/>
  <c r="D228" i="4" s="1"/>
  <c r="F228" i="4" s="1"/>
  <c r="E233" i="4"/>
  <c r="D233" i="4" s="1"/>
  <c r="F233" i="4" s="1"/>
  <c r="E238" i="4"/>
  <c r="D238" i="4" s="1"/>
  <c r="F238" i="4" s="1"/>
  <c r="E244" i="4"/>
  <c r="D244" i="4" s="1"/>
  <c r="F244" i="4" s="1"/>
  <c r="E10" i="4"/>
  <c r="D10" i="4" s="1"/>
  <c r="F10" i="4" s="1"/>
  <c r="E18" i="4"/>
  <c r="D18" i="4" s="1"/>
  <c r="F18" i="4" s="1"/>
  <c r="E26" i="4"/>
  <c r="D26" i="4" s="1"/>
  <c r="F26" i="4" s="1"/>
  <c r="E34" i="4"/>
  <c r="D34" i="4" s="1"/>
  <c r="F34" i="4" s="1"/>
  <c r="E42" i="4"/>
  <c r="D42" i="4" s="1"/>
  <c r="F42" i="4" s="1"/>
  <c r="E50" i="4"/>
  <c r="D50" i="4" s="1"/>
  <c r="F50" i="4" s="1"/>
  <c r="E58" i="4"/>
  <c r="D58" i="4" s="1"/>
  <c r="F58" i="4" s="1"/>
  <c r="E5" i="4"/>
  <c r="D5" i="4" s="1"/>
  <c r="F5" i="4" s="1"/>
  <c r="E37" i="4"/>
  <c r="D37" i="4" s="1"/>
  <c r="F37" i="4" s="1"/>
  <c r="E66" i="4"/>
  <c r="D66" i="4" s="1"/>
  <c r="F66" i="4" s="1"/>
  <c r="E82" i="4"/>
  <c r="D82" i="4" s="1"/>
  <c r="F82" i="4" s="1"/>
  <c r="E98" i="4"/>
  <c r="D98" i="4" s="1"/>
  <c r="F98" i="4" s="1"/>
  <c r="E112" i="4"/>
  <c r="D112" i="4" s="1"/>
  <c r="F112" i="4" s="1"/>
  <c r="E122" i="4"/>
  <c r="D122" i="4" s="1"/>
  <c r="F122" i="4" s="1"/>
  <c r="E133" i="4"/>
  <c r="D133" i="4" s="1"/>
  <c r="F133" i="4" s="1"/>
  <c r="E144" i="4"/>
  <c r="D144" i="4" s="1"/>
  <c r="F144" i="4" s="1"/>
  <c r="E154" i="4"/>
  <c r="D154" i="4" s="1"/>
  <c r="F154" i="4" s="1"/>
  <c r="E165" i="4"/>
  <c r="D165" i="4" s="1"/>
  <c r="F165" i="4" s="1"/>
  <c r="E176" i="4"/>
  <c r="D176" i="4" s="1"/>
  <c r="F176" i="4" s="1"/>
  <c r="E186" i="4"/>
  <c r="D186" i="4" s="1"/>
  <c r="F186" i="4" s="1"/>
  <c r="E197" i="4"/>
  <c r="D197" i="4" s="1"/>
  <c r="F197" i="4" s="1"/>
  <c r="E208" i="4"/>
  <c r="D208" i="4" s="1"/>
  <c r="F208" i="4" s="1"/>
  <c r="E218" i="4"/>
  <c r="D218" i="4" s="1"/>
  <c r="F218" i="4" s="1"/>
  <c r="E229" i="4"/>
  <c r="D229" i="4" s="1"/>
  <c r="F229" i="4" s="1"/>
  <c r="E240" i="4"/>
  <c r="D240" i="4" s="1"/>
  <c r="F240" i="4" s="1"/>
  <c r="E13" i="4"/>
  <c r="D13" i="4" s="1"/>
  <c r="F13" i="4" s="1"/>
  <c r="E45" i="4"/>
  <c r="D45" i="4" s="1"/>
  <c r="F45" i="4" s="1"/>
  <c r="E69" i="4"/>
  <c r="D69" i="4" s="1"/>
  <c r="F69" i="4" s="1"/>
  <c r="E85" i="4"/>
  <c r="D85" i="4" s="1"/>
  <c r="F85" i="4" s="1"/>
  <c r="E101" i="4"/>
  <c r="D101" i="4" s="1"/>
  <c r="F101" i="4" s="1"/>
  <c r="E113" i="4"/>
  <c r="D113" i="4" s="1"/>
  <c r="F113" i="4" s="1"/>
  <c r="E124" i="4"/>
  <c r="D124" i="4" s="1"/>
  <c r="F124" i="4" s="1"/>
  <c r="E134" i="4"/>
  <c r="D134" i="4" s="1"/>
  <c r="F134" i="4" s="1"/>
  <c r="E145" i="4"/>
  <c r="D145" i="4" s="1"/>
  <c r="F145" i="4" s="1"/>
  <c r="E156" i="4"/>
  <c r="D156" i="4" s="1"/>
  <c r="F156" i="4" s="1"/>
  <c r="E166" i="4"/>
  <c r="D166" i="4" s="1"/>
  <c r="F166" i="4" s="1"/>
  <c r="E177" i="4"/>
  <c r="D177" i="4" s="1"/>
  <c r="F177" i="4" s="1"/>
  <c r="E188" i="4"/>
  <c r="D188" i="4" s="1"/>
  <c r="F188" i="4" s="1"/>
  <c r="E198" i="4"/>
  <c r="D198" i="4" s="1"/>
  <c r="F198" i="4" s="1"/>
  <c r="E209" i="4"/>
  <c r="D209" i="4" s="1"/>
  <c r="F209" i="4" s="1"/>
  <c r="E220" i="4"/>
  <c r="D220" i="4" s="1"/>
  <c r="F220" i="4" s="1"/>
  <c r="E230" i="4"/>
  <c r="D230" i="4" s="1"/>
  <c r="F230" i="4" s="1"/>
  <c r="E241" i="4"/>
  <c r="D241" i="4" s="1"/>
  <c r="F241" i="4" s="1"/>
  <c r="E21" i="4"/>
  <c r="D21" i="4" s="1"/>
  <c r="F21" i="4" s="1"/>
  <c r="E53" i="4"/>
  <c r="D53" i="4" s="1"/>
  <c r="F53" i="4" s="1"/>
  <c r="E74" i="4"/>
  <c r="D74" i="4" s="1"/>
  <c r="F74" i="4" s="1"/>
  <c r="E90" i="4"/>
  <c r="D90" i="4" s="1"/>
  <c r="F90" i="4" s="1"/>
  <c r="E106" i="4"/>
  <c r="D106" i="4" s="1"/>
  <c r="F106" i="4" s="1"/>
  <c r="E117" i="4"/>
  <c r="D117" i="4" s="1"/>
  <c r="F117" i="4" s="1"/>
  <c r="E128" i="4"/>
  <c r="D128" i="4" s="1"/>
  <c r="F128" i="4" s="1"/>
  <c r="E138" i="4"/>
  <c r="D138" i="4" s="1"/>
  <c r="F138" i="4" s="1"/>
  <c r="E149" i="4"/>
  <c r="D149" i="4" s="1"/>
  <c r="F149" i="4" s="1"/>
  <c r="E160" i="4"/>
  <c r="D160" i="4" s="1"/>
  <c r="F160" i="4" s="1"/>
  <c r="E170" i="4"/>
  <c r="D170" i="4" s="1"/>
  <c r="F170" i="4" s="1"/>
  <c r="E181" i="4"/>
  <c r="D181" i="4" s="1"/>
  <c r="F181" i="4" s="1"/>
  <c r="E192" i="4"/>
  <c r="D192" i="4" s="1"/>
  <c r="F192" i="4" s="1"/>
  <c r="E202" i="4"/>
  <c r="D202" i="4" s="1"/>
  <c r="F202" i="4" s="1"/>
  <c r="E213" i="4"/>
  <c r="D213" i="4" s="1"/>
  <c r="F213" i="4" s="1"/>
  <c r="E224" i="4"/>
  <c r="D224" i="4" s="1"/>
  <c r="F224" i="4" s="1"/>
  <c r="E234" i="4"/>
  <c r="D234" i="4" s="1"/>
  <c r="F234" i="4" s="1"/>
  <c r="E245" i="4"/>
  <c r="D245" i="4" s="1"/>
  <c r="F245" i="4" s="1"/>
  <c r="E29" i="4"/>
  <c r="D29" i="4" s="1"/>
  <c r="F29" i="4" s="1"/>
  <c r="E61" i="4"/>
  <c r="D61" i="4" s="1"/>
  <c r="F61" i="4" s="1"/>
  <c r="E77" i="4"/>
  <c r="D77" i="4" s="1"/>
  <c r="F77" i="4" s="1"/>
  <c r="E93" i="4"/>
  <c r="D93" i="4" s="1"/>
  <c r="F93" i="4" s="1"/>
  <c r="E108" i="4"/>
  <c r="D108" i="4" s="1"/>
  <c r="F108" i="4" s="1"/>
  <c r="E118" i="4"/>
  <c r="D118" i="4" s="1"/>
  <c r="F118" i="4" s="1"/>
  <c r="E129" i="4"/>
  <c r="D129" i="4" s="1"/>
  <c r="F129" i="4" s="1"/>
  <c r="E140" i="4"/>
  <c r="D140" i="4" s="1"/>
  <c r="F140" i="4" s="1"/>
  <c r="E150" i="4"/>
  <c r="D150" i="4" s="1"/>
  <c r="F150" i="4" s="1"/>
  <c r="E161" i="4"/>
  <c r="D161" i="4" s="1"/>
  <c r="F161" i="4" s="1"/>
  <c r="E172" i="4"/>
  <c r="D172" i="4" s="1"/>
  <c r="F172" i="4" s="1"/>
  <c r="E182" i="4"/>
  <c r="D182" i="4" s="1"/>
  <c r="F182" i="4" s="1"/>
  <c r="E193" i="4"/>
  <c r="D193" i="4" s="1"/>
  <c r="F193" i="4" s="1"/>
  <c r="E204" i="4"/>
  <c r="D204" i="4" s="1"/>
  <c r="F204" i="4" s="1"/>
  <c r="E214" i="4"/>
  <c r="D214" i="4" s="1"/>
  <c r="F214" i="4" s="1"/>
  <c r="E225" i="4"/>
  <c r="D225" i="4" s="1"/>
  <c r="F225" i="4" s="1"/>
  <c r="E236" i="4"/>
  <c r="D236" i="4" s="1"/>
  <c r="F236" i="4" s="1"/>
  <c r="E4" i="4"/>
  <c r="D4" i="4" s="1"/>
  <c r="D6" i="20"/>
  <c r="F6" i="20" s="1"/>
  <c r="E11" i="20"/>
  <c r="G11" i="20" s="1"/>
  <c r="E8" i="20"/>
  <c r="G8" i="20" s="1"/>
  <c r="E4" i="20"/>
  <c r="G4" i="20" s="1"/>
  <c r="E7" i="20"/>
  <c r="G7" i="20" s="1"/>
  <c r="E14" i="20"/>
  <c r="G14" i="20" s="1"/>
  <c r="E9" i="20"/>
  <c r="G9" i="20" s="1"/>
  <c r="E10" i="20"/>
  <c r="G10" i="20" s="1"/>
  <c r="E5" i="20"/>
  <c r="G5" i="20" s="1"/>
  <c r="E16" i="20"/>
  <c r="G16" i="20" s="1"/>
  <c r="E15" i="20"/>
  <c r="G15" i="20" s="1"/>
  <c r="E13" i="20"/>
  <c r="G13" i="20" s="1"/>
  <c r="E12" i="20"/>
  <c r="G12" i="20" s="1"/>
  <c r="E4" i="8"/>
  <c r="A6" i="4" l="1"/>
  <c r="F4" i="7"/>
  <c r="F4" i="6"/>
  <c r="D4" i="6"/>
  <c r="D5" i="6"/>
  <c r="F5" i="6"/>
  <c r="D8" i="6"/>
  <c r="F8" i="6"/>
  <c r="F6" i="6"/>
  <c r="D6" i="6"/>
  <c r="D7" i="6"/>
  <c r="F7" i="6"/>
  <c r="F5" i="7"/>
  <c r="D7" i="7"/>
  <c r="F7" i="7"/>
  <c r="D8" i="7"/>
  <c r="F8" i="7"/>
  <c r="D7" i="5"/>
  <c r="F7" i="5" s="1"/>
  <c r="D6" i="5"/>
  <c r="F6" i="5" s="1"/>
  <c r="D4" i="5"/>
  <c r="D5" i="5"/>
  <c r="F5" i="5" s="1"/>
  <c r="A2" i="4"/>
  <c r="F6" i="7"/>
  <c r="D10" i="20"/>
  <c r="F10" i="20" s="1"/>
  <c r="D9" i="20"/>
  <c r="F9" i="20" s="1"/>
  <c r="D8" i="20"/>
  <c r="F8" i="20" s="1"/>
  <c r="D11" i="20"/>
  <c r="F11" i="20" s="1"/>
  <c r="D5" i="20"/>
  <c r="F5" i="20" s="1"/>
  <c r="D7" i="20"/>
  <c r="F7" i="20" s="1"/>
  <c r="D4" i="20"/>
  <c r="F4" i="8"/>
  <c r="D4" i="8"/>
  <c r="D15" i="20"/>
  <c r="F15" i="20" s="1"/>
  <c r="D16" i="20"/>
  <c r="F16" i="20" s="1"/>
  <c r="D14" i="20"/>
  <c r="F14" i="20" s="1"/>
  <c r="D12" i="20"/>
  <c r="F12" i="20" s="1"/>
  <c r="D13" i="20"/>
  <c r="F13" i="20" s="1"/>
  <c r="F4" i="4"/>
  <c r="A3" i="4" s="1"/>
  <c r="A5" i="20" l="1"/>
  <c r="R24" i="2" s="1"/>
  <c r="R21" i="2" s="1"/>
  <c r="R19" i="2" s="1"/>
  <c r="A3" i="6"/>
  <c r="A2" i="6"/>
  <c r="O2" i="6" s="1"/>
  <c r="A4" i="6" s="1"/>
  <c r="F4" i="5"/>
  <c r="A2" i="5"/>
  <c r="A3" i="7"/>
  <c r="A2" i="7"/>
  <c r="A3" i="5"/>
  <c r="F4" i="20"/>
  <c r="A2" i="20"/>
  <c r="C24" i="2" s="1"/>
  <c r="C23" i="2" s="1"/>
  <c r="A3" i="20"/>
  <c r="K24" i="2" s="1"/>
  <c r="K23" i="2" s="1"/>
  <c r="K3" i="8" l="1"/>
  <c r="L3" i="8"/>
  <c r="E7" i="8" s="1"/>
  <c r="E5" i="8"/>
  <c r="D7" i="8" l="1"/>
  <c r="F7" i="8"/>
  <c r="F5" i="8"/>
  <c r="D5" i="8"/>
  <c r="E6" i="8"/>
  <c r="D6" i="8" l="1"/>
  <c r="A2" i="8" s="1"/>
  <c r="A5" i="8" s="1"/>
  <c r="F6" i="8"/>
  <c r="A3" i="8" l="1"/>
  <c r="Q14" i="2" l="1"/>
  <c r="R10" i="2" s="1"/>
  <c r="R14" i="2" l="1"/>
  <c r="R11" i="2" s="1"/>
  <c r="R9" i="2" s="1"/>
  <c r="C14" i="2" l="1"/>
  <c r="C13" i="2" s="1"/>
  <c r="K14" i="2" s="1"/>
  <c r="K13" i="2" l="1"/>
</calcChain>
</file>

<file path=xl/sharedStrings.xml><?xml version="1.0" encoding="utf-8"?>
<sst xmlns="http://schemas.openxmlformats.org/spreadsheetml/2006/main" count="1244" uniqueCount="525">
  <si>
    <t>H3</t>
  </si>
  <si>
    <t>L1</t>
  </si>
  <si>
    <t>X1</t>
  </si>
  <si>
    <t>VLCT45</t>
  </si>
  <si>
    <t>VLST45</t>
  </si>
  <si>
    <t>VLST60</t>
  </si>
  <si>
    <t>VLCT35</t>
  </si>
  <si>
    <t>VLCT55</t>
  </si>
  <si>
    <t>Type</t>
  </si>
  <si>
    <t>-</t>
  </si>
  <si>
    <t>R</t>
  </si>
  <si>
    <t>A</t>
  </si>
  <si>
    <t>B</t>
  </si>
  <si>
    <t>E</t>
  </si>
  <si>
    <t>N</t>
  </si>
  <si>
    <t>P1</t>
  </si>
  <si>
    <t>P2</t>
  </si>
  <si>
    <t>P3</t>
  </si>
  <si>
    <t>C</t>
  </si>
  <si>
    <t>Interface</t>
  </si>
  <si>
    <t>Input</t>
  </si>
  <si>
    <t>Output1</t>
  </si>
  <si>
    <t>Output2</t>
  </si>
  <si>
    <t>List</t>
  </si>
  <si>
    <t>Number</t>
  </si>
  <si>
    <t>Long Description</t>
  </si>
  <si>
    <t>HLD60</t>
  </si>
  <si>
    <t>L70</t>
  </si>
  <si>
    <t>HLD60 Belt Actuator</t>
  </si>
  <si>
    <t>XL-100 Ballscrew Actuator</t>
  </si>
  <si>
    <t>VLST45 Ballscrew Actuator</t>
  </si>
  <si>
    <t>VLST60 Ballscrew Actuator</t>
  </si>
  <si>
    <t>L70 Ballscrew Actuator</t>
  </si>
  <si>
    <t>TYPE!!</t>
  </si>
  <si>
    <t>VLCT35 Rod Actuator</t>
  </si>
  <si>
    <t>VLCT45 Rod Actuator</t>
  </si>
  <si>
    <t>VLCT55 Rod Actuator</t>
  </si>
  <si>
    <t>Rolled Ballscrew</t>
  </si>
  <si>
    <t>No Rail</t>
  </si>
  <si>
    <t>Single Rail</t>
  </si>
  <si>
    <t>Double Rail</t>
  </si>
  <si>
    <t>Part number:</t>
  </si>
  <si>
    <t>NEMA23 1/4" input</t>
  </si>
  <si>
    <t>NEMA23 3/8" input</t>
  </si>
  <si>
    <t>NEMA23 10mm input</t>
  </si>
  <si>
    <t>Description:</t>
  </si>
  <si>
    <t>VL-CT55</t>
  </si>
  <si>
    <t>VL-CT45</t>
  </si>
  <si>
    <t>VL-CT35</t>
  </si>
  <si>
    <t>VL-ST60</t>
  </si>
  <si>
    <t>VL-ST45</t>
  </si>
  <si>
    <t>XL100</t>
  </si>
  <si>
    <t>No Special Options</t>
  </si>
  <si>
    <t>L</t>
  </si>
  <si>
    <t>LS</t>
  </si>
  <si>
    <t>RS</t>
  </si>
  <si>
    <t>left hand motor orientation with rail on motor side</t>
  </si>
  <si>
    <t>right hand motor orientation with rail on motor side</t>
  </si>
  <si>
    <t>right hand motor orientation</t>
  </si>
  <si>
    <t>left hand motor orientation</t>
  </si>
  <si>
    <t>1:1 pulley offset</t>
  </si>
  <si>
    <t>2:1 pulley offset</t>
  </si>
  <si>
    <t>3:1 pulley offset</t>
  </si>
  <si>
    <t>NEMA23 motor mount with 3/8" input shaft</t>
  </si>
  <si>
    <t>NEMA23 motor mount with 10mm input shaft</t>
  </si>
  <si>
    <t>NEMA23 motor mount with 1/4" input shaft</t>
  </si>
  <si>
    <t>Left hand</t>
  </si>
  <si>
    <t>Right hand</t>
  </si>
  <si>
    <t>Left hand, Rail on motor side</t>
  </si>
  <si>
    <t>Right hand, rail on motor side</t>
  </si>
  <si>
    <t>1:1 reverse parallel pulley offset</t>
  </si>
  <si>
    <t>2:1 reverse parallel pulley offset</t>
  </si>
  <si>
    <t>3:1 reverse parallel pulley offset</t>
  </si>
  <si>
    <t>DE</t>
  </si>
  <si>
    <t>Frame</t>
  </si>
  <si>
    <t>Stack</t>
  </si>
  <si>
    <t>NEMA 23</t>
  </si>
  <si>
    <t>NEMA 34</t>
  </si>
  <si>
    <t>SM34</t>
  </si>
  <si>
    <t>SM23</t>
  </si>
  <si>
    <t>OEM Series</t>
  </si>
  <si>
    <t>OEM Series long</t>
  </si>
  <si>
    <t>Size</t>
  </si>
  <si>
    <t>NEMA 17</t>
  </si>
  <si>
    <t>short</t>
  </si>
  <si>
    <t>medium</t>
  </si>
  <si>
    <t>long</t>
  </si>
  <si>
    <t>extra long</t>
  </si>
  <si>
    <t>SM17</t>
  </si>
  <si>
    <t>Class</t>
  </si>
  <si>
    <t>Series</t>
  </si>
  <si>
    <t>Class 5</t>
  </si>
  <si>
    <t>D</t>
  </si>
  <si>
    <t>DT</t>
  </si>
  <si>
    <t>MT</t>
  </si>
  <si>
    <t>MH</t>
  </si>
  <si>
    <t>D-Series</t>
  </si>
  <si>
    <t>M-Series high torque</t>
  </si>
  <si>
    <t>D-Series high torque</t>
  </si>
  <si>
    <t>M-Series high pole count</t>
  </si>
  <si>
    <t>No Brake</t>
  </si>
  <si>
    <t>, integrated brake</t>
  </si>
  <si>
    <t>Fieldbus</t>
  </si>
  <si>
    <t>Expansion</t>
  </si>
  <si>
    <t>-C</t>
  </si>
  <si>
    <t>-CDS</t>
  </si>
  <si>
    <t>-DN</t>
  </si>
  <si>
    <t>-PB</t>
  </si>
  <si>
    <t>CANopen</t>
  </si>
  <si>
    <t>CANopen over D-sub</t>
  </si>
  <si>
    <t>DeviceNet</t>
  </si>
  <si>
    <t>PROFIBUS</t>
  </si>
  <si>
    <t>, integrated brake and shunt</t>
  </si>
  <si>
    <t>, integrated shunt</t>
  </si>
  <si>
    <t>EtherCAT</t>
  </si>
  <si>
    <t>PROFINET</t>
  </si>
  <si>
    <t>None</t>
  </si>
  <si>
    <t>-EEC</t>
  </si>
  <si>
    <t>-EPN</t>
  </si>
  <si>
    <t>, 24V Expanded IO</t>
  </si>
  <si>
    <t>Ratio</t>
  </si>
  <si>
    <t>Motor</t>
  </si>
  <si>
    <t>P</t>
  </si>
  <si>
    <t>SP</t>
  </si>
  <si>
    <t>RAP</t>
  </si>
  <si>
    <t>High Performance</t>
  </si>
  <si>
    <t>Right angle</t>
  </si>
  <si>
    <t>GH17</t>
  </si>
  <si>
    <t>GH23</t>
  </si>
  <si>
    <t>GH34</t>
  </si>
  <si>
    <t>1/2" input shaft</t>
  </si>
  <si>
    <t>3/8" input shaft</t>
  </si>
  <si>
    <t>10mm input shaft</t>
  </si>
  <si>
    <t>Standard options</t>
  </si>
  <si>
    <t>1/4" input shaft</t>
  </si>
  <si>
    <t>5mm input shaft</t>
  </si>
  <si>
    <t>Standard</t>
  </si>
  <si>
    <t>-10mm</t>
  </si>
  <si>
    <t/>
  </si>
  <si>
    <t>, Absolute Encoder</t>
  </si>
  <si>
    <t>, Absolute Encoder with 1M cable and battery kit</t>
  </si>
  <si>
    <t>, Absolute Encoder with 2M cable and battery kit</t>
  </si>
  <si>
    <t>, Absolute Encoder with 3M cable and battery kit</t>
  </si>
  <si>
    <t>MSA1</t>
  </si>
  <si>
    <t>NEMA34 3/8" input</t>
  </si>
  <si>
    <t>NEMA34 1/2" input</t>
  </si>
  <si>
    <t>NEMA34 motor mount with 1/2" input shaft</t>
  </si>
  <si>
    <t>NEMA34 motor mount with 3/8" input shaft</t>
  </si>
  <si>
    <t>S</t>
  </si>
  <si>
    <t>Standard Rail</t>
  </si>
  <si>
    <t>Hybrid</t>
  </si>
  <si>
    <t>PSC</t>
  </si>
  <si>
    <t>PSC Belt Actuator</t>
  </si>
  <si>
    <t>M6S</t>
  </si>
  <si>
    <t>M6S Belt Actuator</t>
  </si>
  <si>
    <t>No Reduction</t>
  </si>
  <si>
    <t>3:1 Reduction</t>
  </si>
  <si>
    <t>5:1 Reduction</t>
  </si>
  <si>
    <t>7:1 Reduction</t>
  </si>
  <si>
    <t>10:1 Redution</t>
  </si>
  <si>
    <t>ROT1</t>
  </si>
  <si>
    <t>ROT1 Table</t>
  </si>
  <si>
    <t>25mm hole</t>
  </si>
  <si>
    <t>16mm hole</t>
  </si>
  <si>
    <t>50mm hole</t>
  </si>
  <si>
    <t>100mm hole</t>
  </si>
  <si>
    <t>UP</t>
  </si>
  <si>
    <t>U</t>
  </si>
  <si>
    <t>DOWN</t>
  </si>
  <si>
    <t>up orientation</t>
  </si>
  <si>
    <t>down orientation</t>
  </si>
  <si>
    <t>Without</t>
  </si>
  <si>
    <t>With</t>
  </si>
  <si>
    <t>without cleanroom grease</t>
  </si>
  <si>
    <t>with cleanroom grease</t>
  </si>
  <si>
    <t>Gearheads</t>
  </si>
  <si>
    <t>List:</t>
  </si>
  <si>
    <t>Cat. 1:</t>
  </si>
  <si>
    <t>Cat. 2:</t>
  </si>
  <si>
    <t>SM17205D</t>
  </si>
  <si>
    <t>SM23165D</t>
  </si>
  <si>
    <t>SM23165DT</t>
  </si>
  <si>
    <t>SM23375D</t>
  </si>
  <si>
    <t>SM23375DT</t>
  </si>
  <si>
    <t>SM23105D</t>
  </si>
  <si>
    <t>SM23205D</t>
  </si>
  <si>
    <t>SM23305D</t>
  </si>
  <si>
    <t>SM23405D</t>
  </si>
  <si>
    <t>SM34165D</t>
  </si>
  <si>
    <t>SM34165DT</t>
  </si>
  <si>
    <t>SM34105D</t>
  </si>
  <si>
    <t>SM34205D</t>
  </si>
  <si>
    <t>SM34305D</t>
  </si>
  <si>
    <t>SM34405D</t>
  </si>
  <si>
    <t>SM34505D</t>
  </si>
  <si>
    <t>SM23165MT</t>
  </si>
  <si>
    <t>SM34165MT</t>
  </si>
  <si>
    <t>SM23166MT</t>
  </si>
  <si>
    <t>SM23216MH</t>
  </si>
  <si>
    <t>Cat1</t>
  </si>
  <si>
    <t>Cat2</t>
  </si>
  <si>
    <t>CAN/DN</t>
  </si>
  <si>
    <t>Profi</t>
  </si>
  <si>
    <t>Category</t>
  </si>
  <si>
    <t>IF has C/DN</t>
  </si>
  <si>
    <t>Can/DN??</t>
  </si>
  <si>
    <t>HLD60A</t>
  </si>
  <si>
    <t>HLD60B</t>
  </si>
  <si>
    <t>HLD60E</t>
  </si>
  <si>
    <t>L70R</t>
  </si>
  <si>
    <t>XL100R</t>
  </si>
  <si>
    <t>VL-ST45R</t>
  </si>
  <si>
    <t>VL-ST60R</t>
  </si>
  <si>
    <t>VL-CT35R</t>
  </si>
  <si>
    <t>VL-CT45R</t>
  </si>
  <si>
    <t>VL-CT55R</t>
  </si>
  <si>
    <t>M6S0</t>
  </si>
  <si>
    <t>M6S3</t>
  </si>
  <si>
    <t>M6S5</t>
  </si>
  <si>
    <t>M6S7</t>
  </si>
  <si>
    <t>M6S10</t>
  </si>
  <si>
    <t>PSC0</t>
  </si>
  <si>
    <t>PSC3</t>
  </si>
  <si>
    <t>PSC5</t>
  </si>
  <si>
    <t>PSC7</t>
  </si>
  <si>
    <t>PSC10</t>
  </si>
  <si>
    <t>-DE</t>
  </si>
  <si>
    <t>Non-DE</t>
  </si>
  <si>
    <t>IP67</t>
  </si>
  <si>
    <t>IP65</t>
  </si>
  <si>
    <t>-IP67</t>
  </si>
  <si>
    <t>-IP65</t>
  </si>
  <si>
    <t>Cost Adder</t>
  </si>
  <si>
    <t>-EIP</t>
  </si>
  <si>
    <t>EtherNet/IP</t>
  </si>
  <si>
    <t>Non-IP rated</t>
  </si>
  <si>
    <t>H-Bot</t>
  </si>
  <si>
    <t>HBOT1</t>
  </si>
  <si>
    <t>HBOT</t>
  </si>
  <si>
    <t>250mm x</t>
  </si>
  <si>
    <t>500mm x</t>
  </si>
  <si>
    <t>1000mm x</t>
  </si>
  <si>
    <t>250mm y</t>
  </si>
  <si>
    <t>500mm y</t>
  </si>
  <si>
    <t>Cat 1</t>
  </si>
  <si>
    <t>Cat 2</t>
  </si>
  <si>
    <t>PN</t>
  </si>
  <si>
    <t>Description</t>
  </si>
  <si>
    <t>1000mm y</t>
  </si>
  <si>
    <t>SL17406D</t>
  </si>
  <si>
    <t>2581 Leghorn St</t>
  </si>
  <si>
    <t>Mountain View, CA 94043</t>
  </si>
  <si>
    <t xml:space="preserve">    Phone: (650) 960-4215</t>
  </si>
  <si>
    <t xml:space="preserve">    Fax:     (610) 605-6216</t>
  </si>
  <si>
    <t>MT2</t>
  </si>
  <si>
    <t>M-Series sealed high torque</t>
  </si>
  <si>
    <t>SM23166MT2</t>
  </si>
  <si>
    <t>SM34166MT2</t>
  </si>
  <si>
    <t>h</t>
  </si>
  <si>
    <t>D-Series Options</t>
  </si>
  <si>
    <t>IP65 Options</t>
  </si>
  <si>
    <t>IP67 Options</t>
  </si>
  <si>
    <t>Brake</t>
  </si>
  <si>
    <t>-CDS7</t>
  </si>
  <si>
    <t>CANopen on 7W2 &amp; 15 pin D sub</t>
  </si>
  <si>
    <t>DS2020 Combitronic</t>
  </si>
  <si>
    <t>Version</t>
  </si>
  <si>
    <t>Rated Current</t>
  </si>
  <si>
    <t>CD Series Servo Motor</t>
  </si>
  <si>
    <t>Flange</t>
  </si>
  <si>
    <t>DC Link Voltage</t>
  </si>
  <si>
    <t>Stack Length</t>
  </si>
  <si>
    <t>Nominal Speed</t>
  </si>
  <si>
    <t>Part Number</t>
  </si>
  <si>
    <t>Part Number 1</t>
  </si>
  <si>
    <t>Description 1</t>
  </si>
  <si>
    <t>55 mm</t>
  </si>
  <si>
    <t>G-2</t>
  </si>
  <si>
    <t>Size 2 motor, 55 mm flange</t>
  </si>
  <si>
    <t>70 mm</t>
  </si>
  <si>
    <t>G-3</t>
  </si>
  <si>
    <t>Size 3 motor, 70 mm flange</t>
  </si>
  <si>
    <t>100 mm</t>
  </si>
  <si>
    <t>G-4</t>
  </si>
  <si>
    <t>Size 4 motor, 100 mm flange</t>
  </si>
  <si>
    <t>Part Number 2</t>
  </si>
  <si>
    <t>Description 2</t>
  </si>
  <si>
    <t>220 VDC</t>
  </si>
  <si>
    <t>M</t>
  </si>
  <si>
    <t>220 VDC input</t>
  </si>
  <si>
    <t>400 VDC</t>
  </si>
  <si>
    <t>V</t>
  </si>
  <si>
    <t>400 VDC input</t>
  </si>
  <si>
    <t>Size 2 Motors</t>
  </si>
  <si>
    <t>Size 3 Motors</t>
  </si>
  <si>
    <t>Size 4 Motors</t>
  </si>
  <si>
    <t>Part Number 3</t>
  </si>
  <si>
    <t>Description 3</t>
  </si>
  <si>
    <t>L05</t>
  </si>
  <si>
    <t>L10</t>
  </si>
  <si>
    <t>L15</t>
  </si>
  <si>
    <t>L20</t>
  </si>
  <si>
    <t>L25</t>
  </si>
  <si>
    <t>L40</t>
  </si>
  <si>
    <t>L60</t>
  </si>
  <si>
    <t>All Sizes</t>
  </si>
  <si>
    <t>0.5 inch stack</t>
  </si>
  <si>
    <t>1 inch stack</t>
  </si>
  <si>
    <t>1.5 inch stack</t>
  </si>
  <si>
    <t>2 inch stack</t>
  </si>
  <si>
    <t>2.5 inch stack</t>
  </si>
  <si>
    <t>4 inch stack</t>
  </si>
  <si>
    <t>6 inch stack</t>
  </si>
  <si>
    <t>Low Voltage Size 2</t>
  </si>
  <si>
    <t>Low Voltage Size 3</t>
  </si>
  <si>
    <t>Low Voltage Size 4</t>
  </si>
  <si>
    <t>Part Number 1+2+3</t>
  </si>
  <si>
    <t>Model Lookup</t>
  </si>
  <si>
    <t>Speed</t>
  </si>
  <si>
    <t>Part Number 4</t>
  </si>
  <si>
    <t>Description 4</t>
  </si>
  <si>
    <t>8000 RPM</t>
  </si>
  <si>
    <t>7200 RPM</t>
  </si>
  <si>
    <t>7000 RPM</t>
  </si>
  <si>
    <t>G-2-M2</t>
  </si>
  <si>
    <t>7400 RPM</t>
  </si>
  <si>
    <t>6000 RPM</t>
  </si>
  <si>
    <t>5500 RPM</t>
  </si>
  <si>
    <t>G-2-M4</t>
  </si>
  <si>
    <t>6500 RPM</t>
  </si>
  <si>
    <t>4100 RPM</t>
  </si>
  <si>
    <t>4200 RPM</t>
  </si>
  <si>
    <t>G-2-M6</t>
  </si>
  <si>
    <t>5000 RPM</t>
  </si>
  <si>
    <t>3400 RPM</t>
  </si>
  <si>
    <t>3500 RPM</t>
  </si>
  <si>
    <t>G-2-M8</t>
  </si>
  <si>
    <t>2600 RPM</t>
  </si>
  <si>
    <t>G-2-V2</t>
  </si>
  <si>
    <t>9000 RPM</t>
  </si>
  <si>
    <t>G-2-V4</t>
  </si>
  <si>
    <t>7500 RPM</t>
  </si>
  <si>
    <t>High Voltage Size 2</t>
  </si>
  <si>
    <t>High Voltage Size 3</t>
  </si>
  <si>
    <t>High Voltage Size 4</t>
  </si>
  <si>
    <t>G-2-V6</t>
  </si>
  <si>
    <t>G-2-V8</t>
  </si>
  <si>
    <t>11000 RPM</t>
  </si>
  <si>
    <t>G-3-M2</t>
  </si>
  <si>
    <t>G-3-M4</t>
  </si>
  <si>
    <t>4500 RPM</t>
  </si>
  <si>
    <t>G-3-M6</t>
  </si>
  <si>
    <t>4400 RPM</t>
  </si>
  <si>
    <t>G-3-M8</t>
  </si>
  <si>
    <t>2800 RPM</t>
  </si>
  <si>
    <t>G-3-V2</t>
  </si>
  <si>
    <t>G-3-V4</t>
  </si>
  <si>
    <t>G-3-V6</t>
  </si>
  <si>
    <t>G-3-V8</t>
  </si>
  <si>
    <t>G-4-M2</t>
  </si>
  <si>
    <t>G-4-M4</t>
  </si>
  <si>
    <t>G-4-M6</t>
  </si>
  <si>
    <t>G-4-M8</t>
  </si>
  <si>
    <t>G-4-M9</t>
  </si>
  <si>
    <t>G-4-V2</t>
  </si>
  <si>
    <t>G-4-V4</t>
  </si>
  <si>
    <t>G-4-V6</t>
  </si>
  <si>
    <t>G-4-V8</t>
  </si>
  <si>
    <t>G-4-V9</t>
  </si>
  <si>
    <t>Size 2 Brake Options</t>
  </si>
  <si>
    <t>Size 3 Brake Options</t>
  </si>
  <si>
    <t>Size 4 Brake Options</t>
  </si>
  <si>
    <t>no brake</t>
  </si>
  <si>
    <t>Brake (1 Nm)</t>
  </si>
  <si>
    <t>with brake</t>
  </si>
  <si>
    <t>Brake (2 Nm)</t>
  </si>
  <si>
    <t>small brake</t>
  </si>
  <si>
    <t>Brake (9 Nm)</t>
  </si>
  <si>
    <t>Brake (4.5 Nm)</t>
  </si>
  <si>
    <t>large brake</t>
  </si>
  <si>
    <t>Brake (14 Nm)</t>
  </si>
  <si>
    <t>Part Number 5</t>
  </si>
  <si>
    <t>Description 5</t>
  </si>
  <si>
    <t>Description Remainder</t>
  </si>
  <si>
    <t>rotatable connectors, resolver, keyway</t>
  </si>
  <si>
    <t>Motor PN</t>
  </si>
  <si>
    <t>List Price</t>
  </si>
  <si>
    <t>Cat. 1</t>
  </si>
  <si>
    <t>Cat. 2</t>
  </si>
  <si>
    <t>G-2-M2-080-00-00-01-00</t>
  </si>
  <si>
    <t>0.24 Nm stall torque</t>
  </si>
  <si>
    <t>G-2-M4-074-00-00-01-00</t>
  </si>
  <si>
    <t>0.48  Nm stall torque</t>
  </si>
  <si>
    <t>G-2-M6-065-00-00-01-00</t>
  </si>
  <si>
    <t>1.00 Nm stall torque</t>
  </si>
  <si>
    <t>G-2-M8-050-00-00-01-00</t>
  </si>
  <si>
    <t>2.02 Nm stall torque</t>
  </si>
  <si>
    <t>G-2-M2-080-01-00-01-00</t>
  </si>
  <si>
    <t>G-2-M4-074-01-00-01-00</t>
  </si>
  <si>
    <t>G-2-M6-065-01-00-01-00</t>
  </si>
  <si>
    <t>G-2-M8-050-01-00-01-00</t>
  </si>
  <si>
    <t>G-2-V2-090-00-00-01-00</t>
  </si>
  <si>
    <t>0.26 Nm stall torque</t>
  </si>
  <si>
    <t>G-2-V4-075-00-00-01-00</t>
  </si>
  <si>
    <t>0.51 Nm stall torque</t>
  </si>
  <si>
    <t>G-2-V6-075-00-00-01-00</t>
  </si>
  <si>
    <t>0.88 Nm stall torque</t>
  </si>
  <si>
    <t>G-2-V8-060-00-00-01-00</t>
  </si>
  <si>
    <t>1.79 Nm stall torque</t>
  </si>
  <si>
    <t>G-2-V2-090-01-00-01-00</t>
  </si>
  <si>
    <t>G-2-V4-075-01-00-01-00</t>
  </si>
  <si>
    <t>G-2-V6-075-01-00-01-00</t>
  </si>
  <si>
    <t>G-2-V8-060-01-00-01-00</t>
  </si>
  <si>
    <t>G-3-M2-072-00-00-01-00</t>
  </si>
  <si>
    <t>0.62 Nm stall torque</t>
  </si>
  <si>
    <t>G-3-M4-060-00-00-01-00</t>
  </si>
  <si>
    <t>1.64 Nm stall torque</t>
  </si>
  <si>
    <t>G-3-M6-041-00-00-01-00</t>
  </si>
  <si>
    <t>2.58 Nm stall torque</t>
  </si>
  <si>
    <t>G-3-M8-034-00-00-01-00</t>
  </si>
  <si>
    <t>3.94 Nm stall torque</t>
  </si>
  <si>
    <t>G-3-M2-072-01-00-01-00</t>
  </si>
  <si>
    <t>G-3-M4-060-01-00-01-00</t>
  </si>
  <si>
    <t>G-3-M6-041-01-00-01-00</t>
  </si>
  <si>
    <t>G-3-M8-034-01-00-01-00</t>
  </si>
  <si>
    <t>G-3-M2-072-02-00-01-00</t>
  </si>
  <si>
    <t>G-3-M4-060-02-00-01-00</t>
  </si>
  <si>
    <t>G-3-M6-041-02-00-01-00</t>
  </si>
  <si>
    <t>G-3-M8-034-02-00-01-00</t>
  </si>
  <si>
    <t>G-3-V2-110-00-00-01-00</t>
  </si>
  <si>
    <t>0.55 Nm stall torque</t>
  </si>
  <si>
    <t>G-3-V4-080-00-00-01-00</t>
  </si>
  <si>
    <t>1.44 Nm stall torque</t>
  </si>
  <si>
    <t>G-3-V6-045-00-00-01-00</t>
  </si>
  <si>
    <t>2.26 Nm stall torque</t>
  </si>
  <si>
    <t>G-3-V8-044-00-00-01-00</t>
  </si>
  <si>
    <t>3.46 Nm stall torque</t>
  </si>
  <si>
    <t>G-3-V2-110-01-00-01-00</t>
  </si>
  <si>
    <t>G-3-V4-080-01-00-01-00</t>
  </si>
  <si>
    <t>G-3-V6-045-01-00-01-00</t>
  </si>
  <si>
    <t>G-3-V8-044-01-00-01-00</t>
  </si>
  <si>
    <t>G-3-V2-110-02-00-01-00</t>
  </si>
  <si>
    <t>G-3-V4-080-02-00-01-00</t>
  </si>
  <si>
    <t>G-3-V6-045-02-00-01-00</t>
  </si>
  <si>
    <t>G-3-V8-044-02-00-01-00</t>
  </si>
  <si>
    <t>G-4-M2-070-00-00-01-00</t>
  </si>
  <si>
    <t>1.52 Nm stall torque</t>
  </si>
  <si>
    <t>G-4-M4-055-00-00-01-00</t>
  </si>
  <si>
    <t>2.66 Nm stall torque</t>
  </si>
  <si>
    <t>G-4-M6-042-00-00-01-00</t>
  </si>
  <si>
    <t>4.74 Nm stall torque</t>
  </si>
  <si>
    <t>G-4-M8-035-00-00-01-00</t>
  </si>
  <si>
    <t>8.31 Nm stall torque</t>
  </si>
  <si>
    <t>G-4-M9-026-00-00-01-00</t>
  </si>
  <si>
    <t>11.33 Nm stall torque</t>
  </si>
  <si>
    <t>G-4-M2-070-01-00-01-00</t>
  </si>
  <si>
    <t>G-4-M4-055-01-00-01-00</t>
  </si>
  <si>
    <t>G-4-M6-042-01-00-01-00</t>
  </si>
  <si>
    <t>G-4-M8-035-01-00-01-00</t>
  </si>
  <si>
    <t>G-4-M9-026-01-00-01-00</t>
  </si>
  <si>
    <t>G-4-M2-070-02-00-01-00</t>
  </si>
  <si>
    <t>G-4-M4-055-02-00-01-00</t>
  </si>
  <si>
    <t>G-4-M6-042-02-00-01-00</t>
  </si>
  <si>
    <t>G-4-M8-035-02-00-01-00</t>
  </si>
  <si>
    <t>G-4-M9-026-02-00-01-00</t>
  </si>
  <si>
    <t>G-4-V2-080-00-00-01-00</t>
  </si>
  <si>
    <t>1.25 Nm stall torque</t>
  </si>
  <si>
    <t>G-4-V4-055-00-00-01-00</t>
  </si>
  <si>
    <t>2.31 Nm stall torque</t>
  </si>
  <si>
    <t>G-4-V6-042-00-00-01-00</t>
  </si>
  <si>
    <t>4.01 Nm stall torque</t>
  </si>
  <si>
    <t>G-4-V8-035-00-00-01-00</t>
  </si>
  <si>
    <t>6.85 Nm stall torque</t>
  </si>
  <si>
    <t>G-4-V9-028-00-00-01-00</t>
  </si>
  <si>
    <t>9.13 Nm stall torque</t>
  </si>
  <si>
    <t>G-4-V2-080-01-00-01-00</t>
  </si>
  <si>
    <t>G-4-V4-055-01-00-01-00</t>
  </si>
  <si>
    <t>G-4-V6-042-01-00-01-00</t>
  </si>
  <si>
    <t>G-4-V8-035-01-00-01-00</t>
  </si>
  <si>
    <t>G-4-V9-028-01-00-01-00</t>
  </si>
  <si>
    <t>G-4-V2-080-02-00-01-00</t>
  </si>
  <si>
    <t>G-4-V4-055-02-00-01-00</t>
  </si>
  <si>
    <t>G-4-V6-042-02-00-01-00</t>
  </si>
  <si>
    <t>G-4-V8-035-02-00-01-00</t>
  </si>
  <si>
    <t>G-4-V9-028-02-00-01-00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</si>
  <si>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Select options from pulldown menus, working left to right.  </t>
    </r>
    <r>
      <rPr>
        <b/>
        <sz val="12"/>
        <color theme="1"/>
        <rFont val="Calibri"/>
        <family val="2"/>
        <scheme val="minor"/>
      </rPr>
      <t>Note: if you change an option, you must reselect all options to the right of the one that was changed.</t>
    </r>
  </si>
  <si>
    <t>2 A rms</t>
  </si>
  <si>
    <t>2 A rms rated, 4 A rms peak</t>
  </si>
  <si>
    <t>Resolver, CAN Bus Combitronic</t>
  </si>
  <si>
    <t>4 A rms</t>
  </si>
  <si>
    <t>4 A rms rated, 8 A rms peak</t>
  </si>
  <si>
    <t>6 A rms</t>
  </si>
  <si>
    <t>6 A rms rated, 12 A rms peak</t>
  </si>
  <si>
    <t>Part Number Remainder</t>
  </si>
  <si>
    <t>8 A rms</t>
  </si>
  <si>
    <t>8 A rms rated, 16 A rms peak</t>
  </si>
  <si>
    <t>T4A05-00</t>
  </si>
  <si>
    <t>12 A rms</t>
  </si>
  <si>
    <t>12 A rms rated, 22 A rms peak</t>
  </si>
  <si>
    <t>16 A rms</t>
  </si>
  <si>
    <t>16 A rms rated, 32 A rms peak</t>
  </si>
  <si>
    <t>24 A rms</t>
  </si>
  <si>
    <t>24 A rms rated, 48 A rms peak</t>
  </si>
  <si>
    <t>DS2020 Part Number</t>
  </si>
  <si>
    <t>Price</t>
  </si>
  <si>
    <t>CH102T4A05-00</t>
  </si>
  <si>
    <t>CH104T4A05-00</t>
  </si>
  <si>
    <t>CH106T4A05-00</t>
  </si>
  <si>
    <t>CH108T4A05-00</t>
  </si>
  <si>
    <t>CH112T4A05-00</t>
  </si>
  <si>
    <t>CH116T4A05-00</t>
  </si>
  <si>
    <t>CH124T4A05-00</t>
  </si>
  <si>
    <t>Connector Kit Part Number</t>
  </si>
  <si>
    <t>KITDS2020-R1</t>
  </si>
  <si>
    <t>KITDS2020-R2</t>
  </si>
  <si>
    <t>Part Number Result</t>
  </si>
  <si>
    <t>Version 1</t>
  </si>
  <si>
    <t>CH1</t>
  </si>
  <si>
    <t>Standard Model</t>
  </si>
  <si>
    <t>old I4 formula</t>
  </si>
  <si>
    <t>IF('M-Class'!A2=5,"D",IF(AND('M-Class'!A2=6,'M-Stack'!A2=16),"D",0))</t>
  </si>
  <si>
    <t>Drive Enable</t>
  </si>
  <si>
    <t>IP65 sealed</t>
  </si>
  <si>
    <t>IP67 sealed</t>
  </si>
  <si>
    <t>Revised: 11/30/22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</si>
</sst>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"/>
    <numFmt numFmtId="165" formatCode="0000"/>
    <numFmt numFmtId="166" formatCode="&quot;$&quot;#,##0"/>
    <numFmt numFmtId="167" formatCode="&quot;$&quot;#,##0.00"/>
    <numFmt numFmtId="168" formatCode="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7676"/>
        <bgColor indexed="64"/>
      </patternFill>
    </fill>
    <fill>
      <patternFill patternType="solid">
        <fgColor rgb="FF96C6C6"/>
        <bgColor indexed="64"/>
      </patternFill>
    </fill>
    <fill>
      <patternFill patternType="solid">
        <fgColor theme="2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quotePrefix="1" applyFill="1" applyBorder="1" applyAlignment="1">
      <alignment horizontal="right"/>
    </xf>
    <xf numFmtId="0" fontId="0" fillId="2" borderId="1" xfId="0" quotePrefix="1" applyNumberFormat="1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NumberFormat="1" applyFill="1" applyBorder="1" applyAlignment="1"/>
    <xf numFmtId="0" fontId="0" fillId="2" borderId="1" xfId="0" quotePrefix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4" borderId="1" xfId="0" applyFill="1" applyBorder="1"/>
    <xf numFmtId="0" fontId="0" fillId="4" borderId="1" xfId="0" applyNumberFormat="1" applyFill="1" applyBorder="1" applyAlignment="1">
      <alignment horizontal="right"/>
    </xf>
    <xf numFmtId="0" fontId="0" fillId="4" borderId="0" xfId="0" applyFill="1"/>
    <xf numFmtId="0" fontId="0" fillId="3" borderId="0" xfId="0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0" xfId="0" applyFill="1" applyBorder="1"/>
    <xf numFmtId="166" fontId="0" fillId="4" borderId="1" xfId="0" applyNumberForma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0" fillId="4" borderId="1" xfId="4" applyNumberFormat="1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right"/>
    </xf>
    <xf numFmtId="166" fontId="0" fillId="3" borderId="0" xfId="0" applyNumberFormat="1" applyFill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0" fontId="0" fillId="5" borderId="0" xfId="0" applyFill="1" applyProtection="1">
      <protection hidden="1"/>
    </xf>
    <xf numFmtId="0" fontId="3" fillId="5" borderId="0" xfId="0" applyFont="1" applyFill="1" applyAlignment="1" applyProtection="1">
      <alignment horizontal="left" vertical="top"/>
      <protection hidden="1"/>
    </xf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horizontal="left" vertical="top"/>
      <protection hidden="1"/>
    </xf>
    <xf numFmtId="0" fontId="7" fillId="5" borderId="0" xfId="0" applyFont="1" applyFill="1" applyAlignment="1" applyProtection="1">
      <alignment horizontal="left" vertical="top"/>
      <protection hidden="1"/>
    </xf>
    <xf numFmtId="0" fontId="8" fillId="5" borderId="0" xfId="0" applyFont="1" applyFill="1" applyAlignment="1" applyProtection="1">
      <alignment horizontal="left" vertical="top"/>
      <protection hidden="1"/>
    </xf>
    <xf numFmtId="0" fontId="0" fillId="5" borderId="0" xfId="0" applyFill="1" applyAlignment="1" applyProtection="1">
      <alignment wrapText="1"/>
      <protection hidden="1"/>
    </xf>
    <xf numFmtId="0" fontId="2" fillId="6" borderId="13" xfId="0" applyFont="1" applyFill="1" applyBorder="1" applyProtection="1">
      <protection hidden="1"/>
    </xf>
    <xf numFmtId="0" fontId="0" fillId="6" borderId="14" xfId="0" applyFill="1" applyBorder="1" applyProtection="1">
      <protection hidden="1"/>
    </xf>
    <xf numFmtId="0" fontId="0" fillId="5" borderId="8" xfId="0" applyFill="1" applyBorder="1" applyAlignment="1" applyProtection="1">
      <alignment wrapText="1"/>
      <protection hidden="1"/>
    </xf>
    <xf numFmtId="0" fontId="0" fillId="5" borderId="2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6" fillId="5" borderId="8" xfId="0" applyFont="1" applyFill="1" applyBorder="1" applyAlignment="1" applyProtection="1">
      <alignment wrapText="1"/>
      <protection hidden="1"/>
    </xf>
    <xf numFmtId="0" fontId="0" fillId="5" borderId="8" xfId="0" applyFill="1" applyBorder="1" applyProtection="1">
      <protection hidden="1"/>
    </xf>
    <xf numFmtId="0" fontId="14" fillId="5" borderId="7" xfId="0" applyFont="1" applyFill="1" applyBorder="1" applyProtection="1">
      <protection hidden="1"/>
    </xf>
    <xf numFmtId="0" fontId="14" fillId="5" borderId="9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hidden="1"/>
    </xf>
    <xf numFmtId="167" fontId="0" fillId="5" borderId="6" xfId="0" applyNumberFormat="1" applyFill="1" applyBorder="1" applyProtection="1">
      <protection hidden="1"/>
    </xf>
    <xf numFmtId="167" fontId="0" fillId="5" borderId="6" xfId="4" applyNumberFormat="1" applyFont="1" applyFill="1" applyBorder="1" applyAlignment="1" applyProtection="1">
      <alignment horizontal="center"/>
      <protection hidden="1"/>
    </xf>
    <xf numFmtId="0" fontId="0" fillId="2" borderId="16" xfId="0" quotePrefix="1" applyFill="1" applyBorder="1" applyAlignment="1">
      <alignment horizontal="right"/>
    </xf>
    <xf numFmtId="0" fontId="15" fillId="4" borderId="1" xfId="0" applyFont="1" applyFill="1" applyBorder="1" applyProtection="1">
      <protection hidden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8" borderId="1" xfId="0" applyFill="1" applyBorder="1"/>
    <xf numFmtId="0" fontId="0" fillId="8" borderId="1" xfId="0" quotePrefix="1" applyFill="1" applyBorder="1"/>
    <xf numFmtId="0" fontId="0" fillId="8" borderId="1" xfId="0" applyFill="1" applyBorder="1" applyAlignment="1">
      <alignment horizontal="right"/>
    </xf>
    <xf numFmtId="2" fontId="0" fillId="4" borderId="1" xfId="0" applyNumberFormat="1" applyFill="1" applyBorder="1"/>
    <xf numFmtId="1" fontId="0" fillId="3" borderId="0" xfId="0" applyNumberFormat="1" applyFill="1"/>
    <xf numFmtId="1" fontId="0" fillId="2" borderId="1" xfId="0" applyNumberForma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" fontId="0" fillId="4" borderId="1" xfId="0" applyNumberFormat="1" applyFill="1" applyBorder="1"/>
    <xf numFmtId="0" fontId="0" fillId="8" borderId="1" xfId="0" quotePrefix="1" applyFill="1" applyBorder="1" applyAlignment="1">
      <alignment horizontal="right"/>
    </xf>
    <xf numFmtId="0" fontId="1" fillId="8" borderId="1" xfId="0" applyFont="1" applyFill="1" applyBorder="1"/>
    <xf numFmtId="0" fontId="0" fillId="3" borderId="17" xfId="0" applyFill="1" applyBorder="1"/>
    <xf numFmtId="0" fontId="0" fillId="3" borderId="17" xfId="0" applyFill="1" applyBorder="1" applyAlignment="1">
      <alignment horizontal="left"/>
    </xf>
    <xf numFmtId="0" fontId="0" fillId="5" borderId="0" xfId="0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8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  <protection locked="0" hidden="1"/>
    </xf>
    <xf numFmtId="0" fontId="1" fillId="7" borderId="1" xfId="0" applyFont="1" applyFill="1" applyBorder="1" applyAlignment="1" applyProtection="1">
      <alignment horizontal="center" vertical="center"/>
      <protection locked="0" hidden="1"/>
    </xf>
    <xf numFmtId="164" fontId="1" fillId="7" borderId="1" xfId="0" applyNumberFormat="1" applyFont="1" applyFill="1" applyBorder="1" applyAlignment="1" applyProtection="1">
      <alignment horizontal="center" vertical="center"/>
      <protection locked="0"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5" xfId="0" applyFill="1" applyBorder="1"/>
    <xf numFmtId="0" fontId="1" fillId="5" borderId="0" xfId="0" applyFont="1" applyFill="1" applyProtection="1">
      <protection hidden="1"/>
    </xf>
    <xf numFmtId="0" fontId="9" fillId="5" borderId="0" xfId="0" applyFont="1" applyFill="1" applyAlignment="1" applyProtection="1">
      <alignment horizontal="left" vertical="top" wrapText="1"/>
      <protection hidden="1"/>
    </xf>
    <xf numFmtId="0" fontId="0" fillId="5" borderId="0" xfId="0" applyFill="1" applyAlignment="1" applyProtection="1">
      <alignment horizontal="left" wrapText="1"/>
      <protection hidden="1"/>
    </xf>
    <xf numFmtId="0" fontId="0" fillId="5" borderId="8" xfId="0" applyFill="1" applyBorder="1" applyAlignment="1" applyProtection="1">
      <alignment horizontal="left" wrapText="1"/>
      <protection hidden="1"/>
    </xf>
    <xf numFmtId="0" fontId="1" fillId="7" borderId="1" xfId="0" applyFont="1" applyFill="1" applyBorder="1" applyAlignment="1" applyProtection="1">
      <alignment horizontal="center" vertical="center"/>
      <protection locked="0"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locked="0" hidden="1"/>
    </xf>
    <xf numFmtId="0" fontId="1" fillId="7" borderId="11" xfId="0" applyFont="1" applyFill="1" applyBorder="1" applyAlignment="1" applyProtection="1">
      <alignment horizontal="center" vertical="center"/>
      <protection locked="0" hidden="1"/>
    </xf>
    <xf numFmtId="0" fontId="0" fillId="5" borderId="12" xfId="0" applyFill="1" applyBorder="1" applyAlignment="1" applyProtection="1">
      <alignment horizontal="center"/>
      <protection hidden="1"/>
    </xf>
    <xf numFmtId="165" fontId="1" fillId="7" borderId="10" xfId="0" applyNumberFormat="1" applyFont="1" applyFill="1" applyBorder="1" applyAlignment="1" applyProtection="1">
      <alignment horizontal="center" vertical="center"/>
      <protection locked="0" hidden="1"/>
    </xf>
    <xf numFmtId="165" fontId="1" fillId="7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7" borderId="1" xfId="0" applyFont="1" applyFill="1" applyBorder="1" applyAlignment="1" applyProtection="1">
      <alignment horizontal="center"/>
      <protection locked="0" hidden="1"/>
    </xf>
    <xf numFmtId="0" fontId="2" fillId="6" borderId="2" xfId="0" applyFont="1" applyFill="1" applyBorder="1" applyAlignment="1" applyProtection="1">
      <alignment horizontal="left" vertical="center"/>
      <protection hidden="1"/>
    </xf>
    <xf numFmtId="0" fontId="2" fillId="6" borderId="3" xfId="0" applyFont="1" applyFill="1" applyBorder="1" applyAlignment="1" applyProtection="1">
      <alignment horizontal="left" vertical="center"/>
      <protection hidden="1"/>
    </xf>
    <xf numFmtId="0" fontId="2" fillId="6" borderId="4" xfId="0" applyFont="1" applyFill="1" applyBorder="1" applyAlignment="1" applyProtection="1">
      <alignment horizontal="left" vertical="center"/>
      <protection hidden="1"/>
    </xf>
    <xf numFmtId="0" fontId="2" fillId="6" borderId="5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2" fillId="6" borderId="6" xfId="0" applyFont="1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8" xfId="0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 wrapText="1"/>
      <protection hidden="1"/>
    </xf>
    <xf numFmtId="0" fontId="0" fillId="5" borderId="8" xfId="0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vertical="center"/>
      <protection hidden="1"/>
    </xf>
    <xf numFmtId="0" fontId="2" fillId="6" borderId="3" xfId="0" applyFont="1" applyFill="1" applyBorder="1" applyAlignment="1" applyProtection="1">
      <alignment vertical="center"/>
      <protection hidden="1"/>
    </xf>
    <xf numFmtId="0" fontId="2" fillId="6" borderId="4" xfId="0" applyFont="1" applyFill="1" applyBorder="1" applyAlignment="1" applyProtection="1">
      <alignment vertical="center"/>
      <protection hidden="1"/>
    </xf>
    <xf numFmtId="0" fontId="2" fillId="6" borderId="5" xfId="0" applyFont="1" applyFill="1" applyBorder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6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5">
    <cellStyle name="Currency" xfId="4" builtinId="4"/>
    <cellStyle name="Currency 2" xfId="2" xr:uid="{00000000-0005-0000-0000-000001000000}"/>
    <cellStyle name="Hyperlink 2" xfId="3" xr:uid="{00000000-0005-0000-0000-000002000000}"/>
    <cellStyle name="Normal" xfId="0" builtinId="0"/>
    <cellStyle name="Normal 2" xfId="1" xr:uid="{00000000-0005-0000-0000-000004000000}"/>
  </cellStyles>
  <dxfs count="1">
    <dxf>
      <font>
        <color theme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  <color rgb="FFFF8B8B"/>
      <color rgb="FF96C6C6"/>
      <color rgb="FFD07676"/>
      <color rgb="FFFFFFFF"/>
      <color rgb="FF0099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95249</xdr:rowOff>
    </xdr:from>
    <xdr:to>
      <xdr:col>4</xdr:col>
      <xdr:colOff>80114</xdr:colOff>
      <xdr:row>3</xdr:row>
      <xdr:rowOff>157219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95249"/>
          <a:ext cx="1901536" cy="633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NumberGenerator_Partners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or"/>
      <sheetName val="DS-Version"/>
      <sheetName val="DS-Current"/>
      <sheetName val="CD-Flange"/>
      <sheetName val="CD-DCVoltage"/>
      <sheetName val="CD-Stack"/>
      <sheetName val="CD-Speed"/>
      <sheetName val="CD-Brake"/>
      <sheetName val="CD-StallTorque"/>
      <sheetName val="BOT-Series"/>
      <sheetName val="BOT-X"/>
      <sheetName val="BOT-Y"/>
      <sheetName val="BOT-Input Size"/>
      <sheetName val="BOT-Reduction"/>
      <sheetName val="M-Frame"/>
      <sheetName val="M-Stack"/>
      <sheetName val="M-Class"/>
      <sheetName val="M-Series"/>
      <sheetName val="M-DE"/>
      <sheetName val="M-BRK"/>
      <sheetName val="M-Fieldbus"/>
      <sheetName val="M-Expansion"/>
      <sheetName val="G-Frame"/>
      <sheetName val="G-Type"/>
      <sheetName val="G-Ratio"/>
      <sheetName val="G-Interface"/>
      <sheetName val="A-Type"/>
      <sheetName val="RA-Series"/>
      <sheetName val="RA-Hole"/>
      <sheetName val="A-Length"/>
      <sheetName val="A-Pitch"/>
      <sheetName val="A-Option"/>
      <sheetName val="A-Interface"/>
      <sheetName val="RA-Input Shaft"/>
      <sheetName val="RA-Orientation"/>
      <sheetName val="RA-Grease"/>
      <sheetName val="A-Special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L05</v>
          </cell>
          <cell r="E3" t="str">
            <v>L05</v>
          </cell>
          <cell r="H3" t="str">
            <v>L05</v>
          </cell>
        </row>
        <row r="4">
          <cell r="B4" t="str">
            <v>L10</v>
          </cell>
          <cell r="E4" t="str">
            <v>L15</v>
          </cell>
          <cell r="H4" t="str">
            <v>L10</v>
          </cell>
        </row>
        <row r="5">
          <cell r="B5" t="str">
            <v>L20</v>
          </cell>
          <cell r="E5" t="str">
            <v>L25</v>
          </cell>
          <cell r="H5" t="str">
            <v>L20</v>
          </cell>
        </row>
        <row r="6">
          <cell r="B6" t="str">
            <v>L40</v>
          </cell>
          <cell r="E6" t="str">
            <v>L40</v>
          </cell>
          <cell r="H6" t="str">
            <v>L40</v>
          </cell>
        </row>
        <row r="7">
          <cell r="H7" t="str">
            <v>L60</v>
          </cell>
        </row>
      </sheetData>
      <sheetData sheetId="6"/>
      <sheetData sheetId="7">
        <row r="3">
          <cell r="B3" t="str">
            <v>No Brake</v>
          </cell>
          <cell r="F3" t="str">
            <v>No Brake</v>
          </cell>
          <cell r="J3" t="str">
            <v>No Brake</v>
          </cell>
        </row>
        <row r="4">
          <cell r="B4" t="str">
            <v>Brake (1 Nm)</v>
          </cell>
          <cell r="F4" t="str">
            <v>Brake (2 Nm)</v>
          </cell>
          <cell r="J4" t="str">
            <v>Brake (9 Nm)</v>
          </cell>
        </row>
        <row r="5">
          <cell r="B5"/>
          <cell r="F5" t="str">
            <v>Brake (4.5 Nm)</v>
          </cell>
          <cell r="J5" t="str">
            <v>Brake (14 Nm)</v>
          </cell>
        </row>
        <row r="6">
          <cell r="F6"/>
          <cell r="J6"/>
        </row>
      </sheetData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0</v>
          </cell>
        </row>
        <row r="2">
          <cell r="A2" t="e">
            <v>#N/A</v>
          </cell>
        </row>
      </sheetData>
      <sheetData sheetId="15">
        <row r="2">
          <cell r="A2" t="e">
            <v>#N/A</v>
          </cell>
        </row>
      </sheetData>
      <sheetData sheetId="16">
        <row r="2">
          <cell r="A2" t="e">
            <v>#N/A</v>
          </cell>
        </row>
      </sheetData>
      <sheetData sheetId="17">
        <row r="2">
          <cell r="A2" t="e">
            <v>#N/A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0" tint="-0.499984740745262"/>
  </sheetPr>
  <dimension ref="B2:S53"/>
  <sheetViews>
    <sheetView tabSelected="1" zoomScale="85" zoomScaleNormal="85" workbookViewId="0">
      <selection activeCell="G2" sqref="G2"/>
    </sheetView>
  </sheetViews>
  <sheetFormatPr defaultColWidth="9.33203125" defaultRowHeight="14.4" x14ac:dyDescent="0.3"/>
  <cols>
    <col min="1" max="1" width="3.6640625" style="28" customWidth="1"/>
    <col min="2" max="2" width="5" style="28" customWidth="1"/>
    <col min="3" max="3" width="9.33203125" style="28"/>
    <col min="4" max="4" width="12.88671875" style="28" customWidth="1"/>
    <col min="5" max="5" width="18.6640625" style="28" customWidth="1"/>
    <col min="6" max="6" width="3.6640625" style="28" customWidth="1"/>
    <col min="7" max="7" width="15.33203125" style="28" customWidth="1"/>
    <col min="8" max="8" width="4.33203125" style="28" customWidth="1"/>
    <col min="9" max="9" width="18.5546875" style="28" customWidth="1"/>
    <col min="10" max="10" width="3.6640625" style="28" customWidth="1"/>
    <col min="11" max="11" width="16.33203125" style="28" customWidth="1"/>
    <col min="12" max="12" width="15.6640625" style="28" customWidth="1"/>
    <col min="13" max="13" width="5" style="28" customWidth="1"/>
    <col min="14" max="14" width="20" style="28" customWidth="1"/>
    <col min="15" max="15" width="19.6640625" style="28" customWidth="1"/>
    <col min="16" max="16" width="5" style="28" customWidth="1"/>
    <col min="17" max="18" width="11.44140625" style="28" hidden="1" customWidth="1"/>
    <col min="19" max="16384" width="9.33203125" style="28"/>
  </cols>
  <sheetData>
    <row r="2" spans="2:19" x14ac:dyDescent="0.3">
      <c r="G2" s="97" t="s">
        <v>524</v>
      </c>
      <c r="M2" s="29" t="s">
        <v>250</v>
      </c>
      <c r="N2" s="30"/>
      <c r="O2" s="29" t="s">
        <v>252</v>
      </c>
    </row>
    <row r="3" spans="2:19" x14ac:dyDescent="0.3">
      <c r="M3" s="29" t="s">
        <v>251</v>
      </c>
      <c r="N3" s="30"/>
      <c r="O3" s="31" t="s">
        <v>253</v>
      </c>
    </row>
    <row r="4" spans="2:19" x14ac:dyDescent="0.3">
      <c r="M4" s="32"/>
      <c r="O4" s="33"/>
    </row>
    <row r="5" spans="2:19" ht="32.25" customHeight="1" x14ac:dyDescent="0.3">
      <c r="B5" s="98" t="s">
        <v>485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2:19" ht="8.25" customHeight="1" thickBot="1" x14ac:dyDescent="0.35">
      <c r="E6" s="99"/>
      <c r="F6" s="99"/>
      <c r="G6" s="99"/>
      <c r="H6" s="99"/>
      <c r="I6" s="99"/>
      <c r="J6" s="99"/>
      <c r="K6" s="99"/>
      <c r="L6" s="99"/>
      <c r="M6" s="34"/>
      <c r="N6" s="34"/>
      <c r="O6" s="33"/>
    </row>
    <row r="7" spans="2:19" ht="21.6" thickBot="1" x14ac:dyDescent="0.45">
      <c r="B7" s="35" t="s">
        <v>121</v>
      </c>
      <c r="C7" s="36"/>
      <c r="E7" s="100"/>
      <c r="F7" s="100"/>
      <c r="G7" s="100"/>
      <c r="H7" s="100"/>
      <c r="I7" s="100"/>
      <c r="J7" s="100"/>
      <c r="K7" s="100"/>
      <c r="L7" s="100"/>
      <c r="M7" s="37"/>
      <c r="N7" s="37"/>
    </row>
    <row r="8" spans="2:19" x14ac:dyDescent="0.3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8"/>
      <c r="R8" s="40"/>
      <c r="S8" s="41"/>
    </row>
    <row r="9" spans="2:19" x14ac:dyDescent="0.3">
      <c r="B9" s="41"/>
      <c r="C9" s="102" t="s">
        <v>74</v>
      </c>
      <c r="D9" s="102"/>
      <c r="E9" s="102" t="s">
        <v>75</v>
      </c>
      <c r="F9" s="102"/>
      <c r="G9" s="60" t="s">
        <v>89</v>
      </c>
      <c r="H9" s="102" t="s">
        <v>90</v>
      </c>
      <c r="I9" s="102"/>
      <c r="J9" s="52" t="s">
        <v>9</v>
      </c>
      <c r="K9" s="60" t="str">
        <f>IF(OR(H10="M-Series high torque",H10="M-Series sealed high torque"),"IP-rating","DE")</f>
        <v>DE</v>
      </c>
      <c r="L9" s="60" t="str">
        <f>IF(K10="IP67","No Brake for IP67","Brake")</f>
        <v>Brake</v>
      </c>
      <c r="M9" s="52" t="s">
        <v>9</v>
      </c>
      <c r="N9" s="60" t="s">
        <v>102</v>
      </c>
      <c r="O9" s="60" t="s">
        <v>103</v>
      </c>
      <c r="P9" s="42"/>
      <c r="Q9" s="41" t="s">
        <v>176</v>
      </c>
      <c r="R9" s="55" t="str">
        <f>IFERROR(R10+R11,"-")</f>
        <v>-</v>
      </c>
      <c r="S9" s="41"/>
    </row>
    <row r="10" spans="2:19" x14ac:dyDescent="0.3">
      <c r="B10" s="41"/>
      <c r="C10" s="101"/>
      <c r="D10" s="101"/>
      <c r="E10" s="101"/>
      <c r="F10" s="101"/>
      <c r="G10" s="87"/>
      <c r="H10" s="110"/>
      <c r="I10" s="110"/>
      <c r="J10" s="43"/>
      <c r="K10" s="88"/>
      <c r="L10" s="88"/>
      <c r="M10" s="44"/>
      <c r="N10" s="88"/>
      <c r="O10" s="88"/>
      <c r="P10" s="42"/>
      <c r="Q10" s="41" t="s">
        <v>177</v>
      </c>
      <c r="R10" s="55" t="str">
        <f>IFERROR(Q14,"-")</f>
        <v>-</v>
      </c>
      <c r="S10" s="41"/>
    </row>
    <row r="11" spans="2:19" x14ac:dyDescent="0.3">
      <c r="B11" s="41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2"/>
      <c r="Q11" s="41" t="s">
        <v>178</v>
      </c>
      <c r="R11" s="55" t="str">
        <f>IFERROR(R14,"-")</f>
        <v>-</v>
      </c>
      <c r="S11" s="41"/>
    </row>
    <row r="12" spans="2:19" x14ac:dyDescent="0.3">
      <c r="B12" s="41"/>
      <c r="C12" s="44" t="s">
        <v>41</v>
      </c>
      <c r="D12" s="44"/>
      <c r="E12" s="44"/>
      <c r="F12" s="44"/>
      <c r="G12" s="44"/>
      <c r="H12" s="44"/>
      <c r="I12" s="44"/>
      <c r="J12" s="45" t="s">
        <v>45</v>
      </c>
      <c r="K12" s="44"/>
      <c r="L12" s="44"/>
      <c r="M12" s="44"/>
      <c r="N12" s="44"/>
      <c r="O12" s="44"/>
      <c r="P12" s="42"/>
      <c r="Q12" s="41"/>
      <c r="R12" s="46"/>
      <c r="S12" s="41"/>
    </row>
    <row r="13" spans="2:19" ht="50.25" customHeight="1" x14ac:dyDescent="0.3">
      <c r="B13" s="41"/>
      <c r="C13" s="104" t="str">
        <f>IFERROR(C14,"-")</f>
        <v>-</v>
      </c>
      <c r="D13" s="104"/>
      <c r="E13" s="104"/>
      <c r="F13" s="104"/>
      <c r="G13" s="104"/>
      <c r="H13" s="104"/>
      <c r="I13" s="61"/>
      <c r="J13" s="42"/>
      <c r="K13" s="103" t="str">
        <f>IFERROR(K14,"-")</f>
        <v>-</v>
      </c>
      <c r="L13" s="103"/>
      <c r="M13" s="103"/>
      <c r="N13" s="103"/>
      <c r="O13" s="103"/>
      <c r="P13" s="42"/>
      <c r="Q13" s="41"/>
      <c r="R13" s="46"/>
      <c r="S13" s="41"/>
    </row>
    <row r="14" spans="2:19" ht="18" customHeight="1" thickBot="1" x14ac:dyDescent="0.35">
      <c r="B14" s="47"/>
      <c r="C14" s="48" t="e">
        <f>IF(H10="M-Series high torque", CONCATENATE('M-Frame'!A2,'M-Stack'!A2,'M-Class'!A2,'M-Series'!A2,'M-BRK'!A2,'M-DE'!A2,'M-Fieldbus'!A2,'M-Expansion'!A2), CONCATENATE('M-Frame'!A2,'M-Stack'!A2,'M-Class'!A2,'M-Series'!A2,'M-DE'!A2,'M-BRK'!A2,IF(AND(C10="NEMA 17",G10=6),"",'M-Fieldbus'!A2),'M-Expansion'!A2))</f>
        <v>#N/A</v>
      </c>
      <c r="D14" s="49"/>
      <c r="E14" s="49"/>
      <c r="F14" s="49"/>
      <c r="G14" s="49"/>
      <c r="H14" s="49"/>
      <c r="I14" s="49"/>
      <c r="J14" s="49"/>
      <c r="K14" s="48" t="e">
        <f>CONCATENATE(IF(C13="SL17406D","Low-cost ",""),'M-Frame'!A3,", ",'M-Stack'!A3,", ",'M-Class'!A3,", ",'M-Series'!A3,", ",'M-DE'!A3,", ",'M-BRK'!A3,", ",'M-Fieldbus'!A3,'M-Expansion'!A3)</f>
        <v>#N/A</v>
      </c>
      <c r="L14" s="49"/>
      <c r="M14" s="49"/>
      <c r="N14" s="49"/>
      <c r="O14" s="49"/>
      <c r="P14" s="49"/>
      <c r="Q14" s="50" t="e">
        <f>IF(OR(AND(N10="CANopen",O10="24V Expanded IO"),AND(N10="DeviceNet",O10="24V Expanded IO")),'M-Series'!A4+'M-DE'!A4+227,'M-Series'!A4+'M-DE'!A4+'M-Fieldbus'!A4+'M-Expansion'!A4)</f>
        <v>#N/A</v>
      </c>
      <c r="R14" s="51" t="e">
        <f>'M-BRK'!A5+'M-Expansion'!A5</f>
        <v>#N/A</v>
      </c>
      <c r="S14" s="41"/>
    </row>
    <row r="15" spans="2:19" x14ac:dyDescent="0.3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42"/>
    </row>
    <row r="16" spans="2:19" ht="15" thickBot="1" x14ac:dyDescent="0.3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2:18" ht="21.6" thickBot="1" x14ac:dyDescent="0.45">
      <c r="B17" s="35" t="s">
        <v>175</v>
      </c>
      <c r="C17" s="36"/>
    </row>
    <row r="18" spans="2:18" x14ac:dyDescent="0.3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8"/>
      <c r="R18" s="40"/>
    </row>
    <row r="19" spans="2:18" x14ac:dyDescent="0.3">
      <c r="B19" s="41"/>
      <c r="C19" s="107" t="s">
        <v>74</v>
      </c>
      <c r="D19" s="107"/>
      <c r="E19" s="107" t="s">
        <v>8</v>
      </c>
      <c r="F19" s="107"/>
      <c r="G19" s="60" t="s">
        <v>120</v>
      </c>
      <c r="H19" s="102" t="s">
        <v>19</v>
      </c>
      <c r="I19" s="102"/>
      <c r="J19" s="60"/>
      <c r="K19" s="102"/>
      <c r="L19" s="102"/>
      <c r="M19" s="102"/>
      <c r="N19" s="102"/>
      <c r="O19" s="102"/>
      <c r="P19" s="46"/>
      <c r="Q19" s="41" t="s">
        <v>176</v>
      </c>
      <c r="R19" s="55" t="str">
        <f>IFERROR(R20+R21,"-")</f>
        <v>-</v>
      </c>
    </row>
    <row r="20" spans="2:18" x14ac:dyDescent="0.3">
      <c r="B20" s="41"/>
      <c r="C20" s="105"/>
      <c r="D20" s="106"/>
      <c r="E20" s="108"/>
      <c r="F20" s="109"/>
      <c r="G20" s="89"/>
      <c r="H20" s="101"/>
      <c r="I20" s="101"/>
      <c r="J20" s="43"/>
      <c r="K20" s="102"/>
      <c r="L20" s="102"/>
      <c r="M20" s="102"/>
      <c r="N20" s="102"/>
      <c r="O20" s="102"/>
      <c r="P20" s="46"/>
      <c r="Q20" s="41" t="s">
        <v>177</v>
      </c>
      <c r="R20" s="55">
        <f>IFERROR(Q24,"-")</f>
        <v>0</v>
      </c>
    </row>
    <row r="21" spans="2:18" x14ac:dyDescent="0.3">
      <c r="B21" s="4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6"/>
      <c r="Q21" s="41" t="s">
        <v>178</v>
      </c>
      <c r="R21" s="55" t="str">
        <f>IFERROR(R24,"-")</f>
        <v>-</v>
      </c>
    </row>
    <row r="22" spans="2:18" ht="14.7" customHeight="1" x14ac:dyDescent="0.3">
      <c r="B22" s="41"/>
      <c r="C22" s="44" t="s">
        <v>41</v>
      </c>
      <c r="D22" s="44"/>
      <c r="E22" s="44"/>
      <c r="F22" s="44"/>
      <c r="G22" s="44"/>
      <c r="H22" s="44"/>
      <c r="I22" s="44"/>
      <c r="J22" s="45" t="s">
        <v>45</v>
      </c>
      <c r="K22" s="44"/>
      <c r="L22" s="44"/>
      <c r="M22" s="44"/>
      <c r="N22" s="44"/>
      <c r="O22" s="44"/>
      <c r="P22" s="46"/>
      <c r="Q22" s="41"/>
      <c r="R22" s="54"/>
    </row>
    <row r="23" spans="2:18" ht="61.5" customHeight="1" x14ac:dyDescent="0.3">
      <c r="B23" s="41"/>
      <c r="C23" s="104" t="str">
        <f>IFERROR(C24,"-")</f>
        <v>-</v>
      </c>
      <c r="D23" s="104"/>
      <c r="E23" s="104"/>
      <c r="F23" s="104"/>
      <c r="G23" s="104"/>
      <c r="H23" s="104"/>
      <c r="I23" s="61"/>
      <c r="J23" s="42"/>
      <c r="K23" s="103" t="str">
        <f>IFERROR(K24,"-")</f>
        <v>-</v>
      </c>
      <c r="L23" s="103"/>
      <c r="M23" s="103"/>
      <c r="N23" s="103"/>
      <c r="O23" s="103"/>
      <c r="P23" s="46"/>
      <c r="Q23" s="41"/>
      <c r="R23" s="46"/>
    </row>
    <row r="24" spans="2:18" ht="15.75" customHeight="1" thickBot="1" x14ac:dyDescent="0.35">
      <c r="B24" s="47"/>
      <c r="C24" s="48" t="e">
        <f>CONCATENATE('G-Frame'!A2,'G-Type'!A2,'G-Ratio'!A2,'G-Interface'!A2)</f>
        <v>#N/A</v>
      </c>
      <c r="D24" s="49"/>
      <c r="E24" s="49"/>
      <c r="F24" s="49"/>
      <c r="G24" s="49"/>
      <c r="H24" s="49"/>
      <c r="I24" s="49"/>
      <c r="J24" s="49"/>
      <c r="K24" s="48" t="e">
        <f>CONCATENATE('G-Frame'!A3,", ",'G-Type'!A3,", ",'G-Ratio'!A3,", ",'G-Interface'!A3)</f>
        <v>#N/A</v>
      </c>
      <c r="L24" s="49"/>
      <c r="M24" s="49"/>
      <c r="N24" s="49"/>
      <c r="O24" s="49"/>
      <c r="P24" s="53"/>
      <c r="Q24" s="50">
        <v>0</v>
      </c>
      <c r="R24" s="51" t="e">
        <f>'G-Type'!A5+'G-Ratio'!A5</f>
        <v>#N/A</v>
      </c>
    </row>
    <row r="26" spans="2:18" ht="15" thickBot="1" x14ac:dyDescent="0.35"/>
    <row r="27" spans="2:18" x14ac:dyDescent="0.3">
      <c r="B27" s="111" t="s">
        <v>265</v>
      </c>
      <c r="C27" s="112"/>
      <c r="D27" s="113"/>
    </row>
    <row r="28" spans="2:18" ht="15" thickBot="1" x14ac:dyDescent="0.35">
      <c r="B28" s="114"/>
      <c r="C28" s="115"/>
      <c r="D28" s="116"/>
    </row>
    <row r="29" spans="2:18" x14ac:dyDescent="0.3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2:18" x14ac:dyDescent="0.3">
      <c r="B30" s="41"/>
      <c r="P30" s="46"/>
    </row>
    <row r="31" spans="2:18" x14ac:dyDescent="0.3">
      <c r="B31" s="41"/>
      <c r="C31" s="28" t="s">
        <v>266</v>
      </c>
      <c r="D31" s="79" t="s">
        <v>9</v>
      </c>
      <c r="E31" s="28" t="s">
        <v>267</v>
      </c>
      <c r="P31" s="46"/>
    </row>
    <row r="32" spans="2:18" x14ac:dyDescent="0.3">
      <c r="B32" s="41"/>
      <c r="C32" s="90"/>
      <c r="E32" s="90"/>
      <c r="P32" s="46"/>
    </row>
    <row r="33" spans="2:16" x14ac:dyDescent="0.3">
      <c r="B33" s="41"/>
      <c r="P33" s="46"/>
    </row>
    <row r="34" spans="2:16" x14ac:dyDescent="0.3">
      <c r="B34" s="41"/>
      <c r="C34" s="77" t="s">
        <v>41</v>
      </c>
      <c r="K34" s="28" t="s">
        <v>45</v>
      </c>
      <c r="P34" s="46"/>
    </row>
    <row r="35" spans="2:16" x14ac:dyDescent="0.3">
      <c r="B35" s="41"/>
      <c r="C35" s="117" t="str">
        <f>IFERROR('DS-Version'!F3&amp;TEXT('DS-Current'!F3,"00")&amp;'DS-Current'!H6,"-")</f>
        <v>-</v>
      </c>
      <c r="D35" s="117"/>
      <c r="E35" s="117"/>
      <c r="F35" s="117"/>
      <c r="G35" s="117"/>
      <c r="H35" s="117"/>
      <c r="I35" s="117"/>
      <c r="K35" s="119" t="str">
        <f>IFERROR('DS-Version'!I3&amp;", "&amp;'DS-Current'!G3&amp;", "&amp;'DS-Current'!H3,"-")</f>
        <v>-</v>
      </c>
      <c r="L35" s="119"/>
      <c r="M35" s="119"/>
      <c r="N35" s="119"/>
      <c r="O35" s="119"/>
      <c r="P35" s="46"/>
    </row>
    <row r="36" spans="2:16" x14ac:dyDescent="0.3">
      <c r="B36" s="41"/>
      <c r="C36" s="117"/>
      <c r="D36" s="117"/>
      <c r="E36" s="117"/>
      <c r="F36" s="117"/>
      <c r="G36" s="117"/>
      <c r="H36" s="117"/>
      <c r="I36" s="117"/>
      <c r="K36" s="119"/>
      <c r="L36" s="119"/>
      <c r="M36" s="119"/>
      <c r="N36" s="119"/>
      <c r="O36" s="119"/>
      <c r="P36" s="46"/>
    </row>
    <row r="37" spans="2:16" x14ac:dyDescent="0.3">
      <c r="B37" s="41"/>
      <c r="C37" s="117"/>
      <c r="D37" s="117"/>
      <c r="E37" s="117"/>
      <c r="F37" s="117"/>
      <c r="G37" s="117"/>
      <c r="H37" s="117"/>
      <c r="I37" s="117"/>
      <c r="K37" s="119"/>
      <c r="L37" s="119"/>
      <c r="M37" s="119"/>
      <c r="N37" s="119"/>
      <c r="O37" s="119"/>
      <c r="P37" s="46"/>
    </row>
    <row r="38" spans="2:16" ht="15" thickBot="1" x14ac:dyDescent="0.35">
      <c r="B38" s="47"/>
      <c r="C38" s="118"/>
      <c r="D38" s="118"/>
      <c r="E38" s="118"/>
      <c r="F38" s="118"/>
      <c r="G38" s="118"/>
      <c r="H38" s="118"/>
      <c r="I38" s="118"/>
      <c r="J38" s="49"/>
      <c r="K38" s="120"/>
      <c r="L38" s="120"/>
      <c r="M38" s="120"/>
      <c r="N38" s="120"/>
      <c r="O38" s="120"/>
      <c r="P38" s="53"/>
    </row>
    <row r="40" spans="2:16" ht="15" thickBot="1" x14ac:dyDescent="0.35"/>
    <row r="41" spans="2:16" x14ac:dyDescent="0.3">
      <c r="B41" s="121" t="s">
        <v>268</v>
      </c>
      <c r="C41" s="122"/>
      <c r="D41" s="122"/>
      <c r="E41" s="123"/>
    </row>
    <row r="42" spans="2:16" ht="15" thickBot="1" x14ac:dyDescent="0.35">
      <c r="B42" s="124"/>
      <c r="C42" s="125"/>
      <c r="D42" s="125"/>
      <c r="E42" s="126"/>
    </row>
    <row r="43" spans="2:16" x14ac:dyDescent="0.3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x14ac:dyDescent="0.3">
      <c r="B44" s="41"/>
      <c r="C44" s="78" t="s">
        <v>269</v>
      </c>
      <c r="D44" s="78" t="s">
        <v>9</v>
      </c>
      <c r="E44" s="78" t="s">
        <v>270</v>
      </c>
      <c r="F44" s="78" t="s">
        <v>9</v>
      </c>
      <c r="G44" s="78" t="s">
        <v>271</v>
      </c>
      <c r="H44" s="78" t="s">
        <v>9</v>
      </c>
      <c r="I44" s="78" t="s">
        <v>272</v>
      </c>
      <c r="J44" s="78" t="s">
        <v>9</v>
      </c>
      <c r="K44" s="78" t="s">
        <v>262</v>
      </c>
      <c r="P44" s="46"/>
    </row>
    <row r="45" spans="2:16" x14ac:dyDescent="0.3">
      <c r="B45" s="41"/>
      <c r="C45" s="90"/>
      <c r="D45" s="78"/>
      <c r="E45" s="90"/>
      <c r="F45" s="78"/>
      <c r="G45" s="90"/>
      <c r="H45" s="78"/>
      <c r="I45" s="90" t="str">
        <f>IF('CD-Speed'!N3="-","",VLOOKUP('CD-Speed'!N3,'CD-Speed'!O3:P28,2,FALSE))</f>
        <v/>
      </c>
      <c r="J45" s="78"/>
      <c r="K45" s="90"/>
      <c r="P45" s="46"/>
    </row>
    <row r="46" spans="2:16" x14ac:dyDescent="0.3">
      <c r="B46" s="41"/>
      <c r="P46" s="46"/>
    </row>
    <row r="47" spans="2:16" x14ac:dyDescent="0.3">
      <c r="B47" s="41"/>
      <c r="C47" s="77" t="s">
        <v>41</v>
      </c>
      <c r="K47" s="28" t="s">
        <v>45</v>
      </c>
      <c r="P47" s="46"/>
    </row>
    <row r="48" spans="2:16" x14ac:dyDescent="0.3">
      <c r="B48" s="41"/>
      <c r="C48" s="117" t="str">
        <f>IFERROR('CD-Speed'!N3&amp;"-"&amp;TEXT('CD-Speed'!S3,"000")&amp;"-"&amp;TEXT('CD-Brake'!B16,"00")&amp;"-"&amp;"00-01-00","-")</f>
        <v>-</v>
      </c>
      <c r="D48" s="117"/>
      <c r="E48" s="117"/>
      <c r="F48" s="117"/>
      <c r="G48" s="117"/>
      <c r="H48" s="117"/>
      <c r="I48" s="117"/>
      <c r="K48" s="119" t="str">
        <f>IFERROR('CD-Flange'!G3&amp;", "&amp;'CD-DCVoltage'!G3&amp;", "&amp;'CD-Stack'!L3&amp;", "&amp;'CD-StallTorque'!E2&amp;", "&amp;'CD-Speed'!T3&amp;", "&amp;'CD-Brake'!C16&amp;", "&amp;'CD-Brake'!E16,"-")</f>
        <v>-</v>
      </c>
      <c r="L48" s="119"/>
      <c r="M48" s="119"/>
      <c r="N48" s="119"/>
      <c r="O48" s="119"/>
      <c r="P48" s="46"/>
    </row>
    <row r="49" spans="2:16" x14ac:dyDescent="0.3">
      <c r="B49" s="41"/>
      <c r="C49" s="117"/>
      <c r="D49" s="117"/>
      <c r="E49" s="117"/>
      <c r="F49" s="117"/>
      <c r="G49" s="117"/>
      <c r="H49" s="117"/>
      <c r="I49" s="117"/>
      <c r="K49" s="119"/>
      <c r="L49" s="119"/>
      <c r="M49" s="119"/>
      <c r="N49" s="119"/>
      <c r="O49" s="119"/>
      <c r="P49" s="46"/>
    </row>
    <row r="50" spans="2:16" x14ac:dyDescent="0.3">
      <c r="B50" s="41"/>
      <c r="C50" s="117"/>
      <c r="D50" s="117"/>
      <c r="E50" s="117"/>
      <c r="F50" s="117"/>
      <c r="G50" s="117"/>
      <c r="H50" s="117"/>
      <c r="I50" s="117"/>
      <c r="K50" s="119"/>
      <c r="L50" s="119"/>
      <c r="M50" s="119"/>
      <c r="N50" s="119"/>
      <c r="O50" s="119"/>
      <c r="P50" s="46"/>
    </row>
    <row r="51" spans="2:16" x14ac:dyDescent="0.3">
      <c r="B51" s="41"/>
      <c r="C51" s="117"/>
      <c r="D51" s="117"/>
      <c r="E51" s="117"/>
      <c r="F51" s="117"/>
      <c r="G51" s="117"/>
      <c r="H51" s="117"/>
      <c r="I51" s="117"/>
      <c r="K51" s="119"/>
      <c r="L51" s="119"/>
      <c r="M51" s="119"/>
      <c r="N51" s="119"/>
      <c r="O51" s="119"/>
      <c r="P51" s="46"/>
    </row>
    <row r="52" spans="2:16" x14ac:dyDescent="0.3">
      <c r="B52" s="41"/>
      <c r="P52" s="46"/>
    </row>
    <row r="53" spans="2:16" ht="15" thickBot="1" x14ac:dyDescent="0.35">
      <c r="B53" s="47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3"/>
    </row>
  </sheetData>
  <customSheetViews>
    <customSheetView guid="{52C17BD0-9019-43AE-9B1C-4B881AB3FBFD}" scale="80">
      <selection activeCell="M21" sqref="M21"/>
      <pageMargins left="0.7" right="0.7" top="0.75" bottom="0.75" header="0.3" footer="0.3"/>
      <pageSetup orientation="portrait" r:id="rId1"/>
    </customSheetView>
  </customSheetViews>
  <mergeCells count="25">
    <mergeCell ref="B27:D28"/>
    <mergeCell ref="C35:I38"/>
    <mergeCell ref="K35:O38"/>
    <mergeCell ref="B41:E42"/>
    <mergeCell ref="C48:I51"/>
    <mergeCell ref="K48:O51"/>
    <mergeCell ref="H10:I10"/>
    <mergeCell ref="H9:I9"/>
    <mergeCell ref="H19:I19"/>
    <mergeCell ref="H20:I20"/>
    <mergeCell ref="E20:F20"/>
    <mergeCell ref="E19:F19"/>
    <mergeCell ref="K19:O20"/>
    <mergeCell ref="K23:O23"/>
    <mergeCell ref="C23:H23"/>
    <mergeCell ref="C20:D20"/>
    <mergeCell ref="C19:D19"/>
    <mergeCell ref="C13:H13"/>
    <mergeCell ref="C10:D10"/>
    <mergeCell ref="E10:F10"/>
    <mergeCell ref="B5:P5"/>
    <mergeCell ref="E6:L7"/>
    <mergeCell ref="K13:O13"/>
    <mergeCell ref="E9:F9"/>
    <mergeCell ref="C9:D9"/>
  </mergeCells>
  <dataValidations count="2">
    <dataValidation type="list" allowBlank="1" showInputMessage="1" showErrorMessage="1" sqref="K45" xr:uid="{F8857A99-9399-4C62-A2DE-A63392ED514E}">
      <formula1>IF(C45="55 mm",size2brakes,IF(C45="70 mm",size3brakes,size4brakes))</formula1>
    </dataValidation>
    <dataValidation type="list" allowBlank="1" showInputMessage="1" showErrorMessage="1" sqref="G45" xr:uid="{F1CC6CE4-D5B9-4D96-A971-85048FA0AD15}">
      <formula1>IF(C45="55 mm",size2stacks,IF(C45="70 mm",size3stacks,size4stacks))</formula1>
    </dataValidation>
  </dataValidation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3000000}">
          <x14:formula1>
            <xm:f>'M-Frame'!$D$4:$D$6</xm:f>
          </x14:formula1>
          <xm:sqref>C10</xm:sqref>
        </x14:dataValidation>
        <x14:dataValidation type="list" allowBlank="1" showInputMessage="1" showErrorMessage="1" xr:uid="{00000000-0002-0000-0000-000004000000}">
          <x14:formula1>
            <xm:f>'M-Stack'!$D$4:$D$10</xm:f>
          </x14:formula1>
          <xm:sqref>E10</xm:sqref>
        </x14:dataValidation>
        <x14:dataValidation type="list" allowBlank="1" xr:uid="{00000000-0002-0000-0000-000005000000}">
          <x14:formula1>
            <xm:f>'M-Class'!$D$4:$D$5</xm:f>
          </x14:formula1>
          <xm:sqref>G10</xm:sqref>
        </x14:dataValidation>
        <x14:dataValidation type="list" allowBlank="1" showInputMessage="1" showErrorMessage="1" xr:uid="{00000000-0002-0000-0000-000007000000}">
          <x14:formula1>
            <xm:f>IF(G10=6,'M-DE'!$E$20,IF($K$9="DE",'M-DE'!$E$20:$E$21,'M-DE'!$E$22:$E$23))</xm:f>
          </x14:formula1>
          <xm:sqref>K10</xm:sqref>
        </x14:dataValidation>
        <x14:dataValidation type="list" allowBlank="1" showInputMessage="1" showErrorMessage="1" xr:uid="{00000000-0002-0000-0000-000008000000}">
          <x14:formula1>
            <xm:f>'M-BRK'!$D$4:$D$8</xm:f>
          </x14:formula1>
          <xm:sqref>L10</xm:sqref>
        </x14:dataValidation>
        <x14:dataValidation type="list" allowBlank="1" showInputMessage="1" showErrorMessage="1" xr:uid="{00000000-0002-0000-0000-000009000000}">
          <x14:formula1>
            <xm:f>'M-Fieldbus'!$D$4:$D$9</xm:f>
          </x14:formula1>
          <xm:sqref>N10</xm:sqref>
        </x14:dataValidation>
        <x14:dataValidation type="list" allowBlank="1" showInputMessage="1" showErrorMessage="1" xr:uid="{00000000-0002-0000-0000-00000A000000}">
          <x14:formula1>
            <xm:f>'G-Frame'!$D$4:$D$6</xm:f>
          </x14:formula1>
          <xm:sqref>C20:D20</xm:sqref>
        </x14:dataValidation>
        <x14:dataValidation type="list" allowBlank="1" showInputMessage="1" showErrorMessage="1" xr:uid="{00000000-0002-0000-0000-00000B000000}">
          <x14:formula1>
            <xm:f>'G-Type'!$D$4:$D$6</xm:f>
          </x14:formula1>
          <xm:sqref>E20:F20</xm:sqref>
        </x14:dataValidation>
        <x14:dataValidation type="list" allowBlank="1" xr:uid="{00000000-0002-0000-0000-00000C000000}">
          <x14:formula1>
            <xm:f>'G-Ratio'!$D$4:$D$16</xm:f>
          </x14:formula1>
          <xm:sqref>G20</xm:sqref>
        </x14:dataValidation>
        <x14:dataValidation type="list" allowBlank="1" showInputMessage="1" showErrorMessage="1" xr:uid="{00000000-0002-0000-0000-00000D000000}">
          <x14:formula1>
            <xm:f>'G-Interface'!$D$4:$D$5</xm:f>
          </x14:formula1>
          <xm:sqref>H20</xm:sqref>
        </x14:dataValidation>
        <x14:dataValidation type="list" allowBlank="1" showInputMessage="1" showErrorMessage="1" xr:uid="{00000000-0002-0000-0000-00000E000000}">
          <x14:formula1>
            <xm:f>'M-Expansion'!$D$4:$D$9</xm:f>
          </x14:formula1>
          <xm:sqref>O10</xm:sqref>
        </x14:dataValidation>
        <x14:dataValidation type="list" allowBlank="1" showInputMessage="1" showErrorMessage="1" xr:uid="{33F4C640-B325-4DE4-9F01-7DED636A1B42}">
          <x14:formula1>
            <xm:f>'M-Series'!$D$4:$D$8</xm:f>
          </x14:formula1>
          <xm:sqref>H10:I10</xm:sqref>
        </x14:dataValidation>
        <x14:dataValidation type="list" allowBlank="1" showInputMessage="1" showErrorMessage="1" xr:uid="{50550DB2-45FF-4998-94B7-CEA15E13761E}">
          <x14:formula1>
            <xm:f>'CD-Flange'!$B$3:$B$6</xm:f>
          </x14:formula1>
          <xm:sqref>C45</xm:sqref>
        </x14:dataValidation>
        <x14:dataValidation type="list" allowBlank="1" showInputMessage="1" showErrorMessage="1" xr:uid="{691EB46C-4AE6-496F-A96A-A822232E87A7}">
          <x14:formula1>
            <xm:f>'CD-DCVoltage'!$B$3:$B$5</xm:f>
          </x14:formula1>
          <xm:sqref>E45</xm:sqref>
        </x14:dataValidation>
        <x14:dataValidation type="list" allowBlank="1" showInputMessage="1" showErrorMessage="1" xr:uid="{86C691B1-3521-49AF-AAA2-F92A5664928A}">
          <x14:formula1>
            <xm:f>'DS-Version'!$B$3:$B$4</xm:f>
          </x14:formula1>
          <xm:sqref>C32</xm:sqref>
        </x14:dataValidation>
        <x14:dataValidation type="list" allowBlank="1" showInputMessage="1" showErrorMessage="1" xr:uid="{2512947E-FB0F-4E25-92BA-59062206ECB9}">
          <x14:formula1>
            <xm:f>'DS-Current'!$B$3:$B$10</xm:f>
          </x14:formula1>
          <xm:sqref>E32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5" width="10.5546875" style="1" customWidth="1"/>
    <col min="6" max="6" width="29" style="1" customWidth="1"/>
    <col min="7" max="16384" width="9.33203125" style="1"/>
  </cols>
  <sheetData>
    <row r="1" spans="1:6" x14ac:dyDescent="0.3">
      <c r="A1" s="3" t="e">
        <f>Generator!#REF!</f>
        <v>#REF!</v>
      </c>
      <c r="B1" s="3" t="s">
        <v>20</v>
      </c>
    </row>
    <row r="2" spans="1:6" x14ac:dyDescent="0.3">
      <c r="A2" s="3" t="e">
        <f>VLOOKUP(A1,D4:F5,2,FALSE)</f>
        <v>#REF!</v>
      </c>
      <c r="B2" s="3" t="s">
        <v>21</v>
      </c>
    </row>
    <row r="3" spans="1:6" x14ac:dyDescent="0.3">
      <c r="A3" s="3" t="e">
        <f>VLOOKUP(A1,D4:F13,3,FALSE)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A4" s="14">
        <v>0</v>
      </c>
      <c r="B4" s="14" t="s">
        <v>199</v>
      </c>
      <c r="D4" s="2" t="s">
        <v>238</v>
      </c>
      <c r="E4" s="2" t="s">
        <v>237</v>
      </c>
      <c r="F4" s="2" t="s">
        <v>236</v>
      </c>
    </row>
    <row r="5" spans="1:6" x14ac:dyDescent="0.3">
      <c r="A5" s="14">
        <v>0</v>
      </c>
      <c r="B5" s="14" t="s">
        <v>200</v>
      </c>
      <c r="D5" s="2"/>
      <c r="E5" s="2"/>
      <c r="F5" s="2"/>
    </row>
    <row r="6" spans="1:6" x14ac:dyDescent="0.3">
      <c r="D6" s="2"/>
      <c r="E6" s="2"/>
      <c r="F6" s="2"/>
    </row>
    <row r="7" spans="1:6" x14ac:dyDescent="0.3">
      <c r="D7" s="2"/>
      <c r="E7" s="2"/>
      <c r="F7" s="2"/>
    </row>
    <row r="8" spans="1:6" x14ac:dyDescent="0.3">
      <c r="D8" s="2"/>
      <c r="E8" s="2"/>
      <c r="F8" s="2"/>
    </row>
    <row r="9" spans="1:6" x14ac:dyDescent="0.3">
      <c r="D9" s="2"/>
      <c r="E9" s="2"/>
      <c r="F9" s="2"/>
    </row>
    <row r="10" spans="1:6" x14ac:dyDescent="0.3">
      <c r="D10" s="2"/>
      <c r="E10" s="2"/>
      <c r="F10" s="2"/>
    </row>
    <row r="11" spans="1:6" x14ac:dyDescent="0.3">
      <c r="D11" s="2"/>
      <c r="E11" s="2"/>
      <c r="F11" s="2"/>
    </row>
    <row r="12" spans="1:6" x14ac:dyDescent="0.3">
      <c r="D12" s="2"/>
      <c r="E12" s="2"/>
      <c r="F12" s="2"/>
    </row>
    <row r="13" spans="1:6" x14ac:dyDescent="0.3">
      <c r="D13" s="2"/>
      <c r="E13" s="2"/>
      <c r="F13" s="2"/>
    </row>
    <row r="14" spans="1:6" x14ac:dyDescent="0.3">
      <c r="D14" s="2"/>
      <c r="E14" s="2"/>
      <c r="F14" s="2"/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7" width="12.33203125" style="1" customWidth="1"/>
    <col min="8" max="16384" width="9.33203125" style="1"/>
  </cols>
  <sheetData>
    <row r="1" spans="1:13" x14ac:dyDescent="0.3">
      <c r="A1" s="3" t="e">
        <f>Generator!#REF!</f>
        <v>#REF!</v>
      </c>
      <c r="B1" s="3" t="s">
        <v>20</v>
      </c>
      <c r="I1" s="1" t="s">
        <v>82</v>
      </c>
    </row>
    <row r="2" spans="1:13" x14ac:dyDescent="0.3">
      <c r="A2" s="7" t="e">
        <f>VLOOKUP(A1,D4:G10,2,FALSE)</f>
        <v>#REF!</v>
      </c>
      <c r="B2" s="3" t="s">
        <v>21</v>
      </c>
      <c r="I2" s="1" t="e">
        <f>'BOT-Series'!A1</f>
        <v>#REF!</v>
      </c>
    </row>
    <row r="3" spans="1:13" x14ac:dyDescent="0.3">
      <c r="A3" s="3" t="e">
        <f>VLOOKUP(A1,D4:G10,3,FALSE)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G3" s="14"/>
      <c r="I3" s="4" t="s">
        <v>238</v>
      </c>
      <c r="J3" s="4">
        <v>250</v>
      </c>
      <c r="K3" s="4">
        <v>500</v>
      </c>
      <c r="L3" s="4">
        <v>1000</v>
      </c>
      <c r="M3" s="4"/>
    </row>
    <row r="4" spans="1:13" x14ac:dyDescent="0.3">
      <c r="A4" s="14" t="e">
        <f>VLOOKUP(A1,D4:G10,4,FALSE)</f>
        <v>#REF!</v>
      </c>
      <c r="B4" s="14" t="s">
        <v>199</v>
      </c>
      <c r="C4" s="1">
        <v>2</v>
      </c>
      <c r="D4" s="2" t="e">
        <f>F4</f>
        <v>#REF!</v>
      </c>
      <c r="E4" s="2" t="e">
        <f>VLOOKUP($I$2,$I$3:$M$4,C4,FALSE)</f>
        <v>#REF!</v>
      </c>
      <c r="F4" s="2" t="e">
        <f>VLOOKUP(E4,$I$8:$K$11,2,FALSE)</f>
        <v>#REF!</v>
      </c>
      <c r="G4" s="20"/>
      <c r="I4" s="4"/>
      <c r="J4" s="4"/>
      <c r="K4" s="4"/>
      <c r="L4" s="4"/>
      <c r="M4" s="4"/>
    </row>
    <row r="5" spans="1:13" x14ac:dyDescent="0.3">
      <c r="A5" s="14" t="e">
        <f>VLOOKUP(A1,D4:H6,4,FALSE)</f>
        <v>#REF!</v>
      </c>
      <c r="B5" s="14" t="s">
        <v>200</v>
      </c>
      <c r="C5" s="1">
        <v>3</v>
      </c>
      <c r="D5" s="2" t="e">
        <f t="shared" ref="D5:D6" si="0">F5</f>
        <v>#REF!</v>
      </c>
      <c r="E5" s="2" t="e">
        <f>VLOOKUP($I$2,$I$3:$M$4,C5,FALSE)</f>
        <v>#REF!</v>
      </c>
      <c r="F5" s="2" t="e">
        <f t="shared" ref="F5:F6" si="1">VLOOKUP(E5,$I$8:$K$11,2,FALSE)</f>
        <v>#REF!</v>
      </c>
      <c r="G5" s="20"/>
      <c r="I5" s="18"/>
      <c r="J5" s="18"/>
      <c r="K5" s="18"/>
      <c r="L5" s="18"/>
      <c r="M5" s="18"/>
    </row>
    <row r="6" spans="1:13" x14ac:dyDescent="0.3">
      <c r="C6" s="1">
        <v>4</v>
      </c>
      <c r="D6" s="2" t="e">
        <f t="shared" si="0"/>
        <v>#REF!</v>
      </c>
      <c r="E6" s="2" t="e">
        <f>VLOOKUP($I$2,$I$3:$M$4,C6,FALSE)</f>
        <v>#REF!</v>
      </c>
      <c r="F6" s="2" t="e">
        <f t="shared" si="1"/>
        <v>#REF!</v>
      </c>
      <c r="G6" s="20"/>
      <c r="I6" s="18"/>
      <c r="J6" s="18"/>
      <c r="K6" s="18"/>
      <c r="L6" s="18"/>
      <c r="M6" s="18"/>
    </row>
    <row r="7" spans="1:13" x14ac:dyDescent="0.3">
      <c r="C7" s="1">
        <v>5</v>
      </c>
      <c r="D7" s="2"/>
      <c r="E7" s="2"/>
      <c r="F7" s="2"/>
      <c r="G7" s="20"/>
    </row>
    <row r="8" spans="1:13" x14ac:dyDescent="0.3">
      <c r="C8" s="1">
        <v>6</v>
      </c>
      <c r="D8" s="2"/>
      <c r="E8" s="2"/>
      <c r="F8" s="2"/>
      <c r="G8" s="20"/>
      <c r="I8" s="2">
        <v>250</v>
      </c>
      <c r="J8" s="10" t="s">
        <v>239</v>
      </c>
      <c r="K8" s="10"/>
    </row>
    <row r="9" spans="1:13" x14ac:dyDescent="0.3">
      <c r="C9" s="1">
        <v>7</v>
      </c>
      <c r="D9" s="2"/>
      <c r="E9" s="2"/>
      <c r="F9" s="2"/>
      <c r="G9" s="20"/>
      <c r="I9" s="2">
        <v>500</v>
      </c>
      <c r="J9" s="10" t="s">
        <v>240</v>
      </c>
      <c r="K9" s="10"/>
    </row>
    <row r="10" spans="1:13" x14ac:dyDescent="0.3">
      <c r="C10" s="1">
        <v>8</v>
      </c>
      <c r="D10" s="2"/>
      <c r="E10" s="2"/>
      <c r="F10" s="2"/>
      <c r="G10" s="20"/>
      <c r="I10" s="2">
        <v>1000</v>
      </c>
      <c r="J10" s="10" t="s">
        <v>241</v>
      </c>
      <c r="K10" s="10"/>
    </row>
    <row r="11" spans="1:13" x14ac:dyDescent="0.3">
      <c r="I11" s="2"/>
      <c r="J11" s="10"/>
      <c r="K11" s="10"/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7" width="12.33203125" style="1" customWidth="1"/>
    <col min="8" max="16384" width="9.33203125" style="1"/>
  </cols>
  <sheetData>
    <row r="1" spans="1:13" x14ac:dyDescent="0.3">
      <c r="A1" s="3" t="e">
        <f>Generator!#REF!</f>
        <v>#REF!</v>
      </c>
      <c r="B1" s="3" t="s">
        <v>20</v>
      </c>
      <c r="I1" s="1" t="s">
        <v>82</v>
      </c>
    </row>
    <row r="2" spans="1:13" x14ac:dyDescent="0.3">
      <c r="A2" s="7" t="e">
        <f>VLOOKUP(A1,D4:G10,2,FALSE)</f>
        <v>#REF!</v>
      </c>
      <c r="B2" s="3" t="s">
        <v>21</v>
      </c>
      <c r="I2" s="1" t="e">
        <f>'BOT-Series'!A1</f>
        <v>#REF!</v>
      </c>
    </row>
    <row r="3" spans="1:13" x14ac:dyDescent="0.3">
      <c r="A3" s="3" t="e">
        <f>VLOOKUP(A1,D4:G10,3,FALSE)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G3" s="14"/>
      <c r="I3" s="4" t="s">
        <v>238</v>
      </c>
      <c r="J3" s="4">
        <v>250</v>
      </c>
      <c r="K3" s="4">
        <v>500</v>
      </c>
      <c r="L3" s="4">
        <v>1000</v>
      </c>
    </row>
    <row r="4" spans="1:13" x14ac:dyDescent="0.3">
      <c r="A4" s="14" t="e">
        <f>VLOOKUP(A1,D4:G10,4,FALSE)</f>
        <v>#REF!</v>
      </c>
      <c r="B4" s="14" t="s">
        <v>199</v>
      </c>
      <c r="C4" s="1">
        <v>2</v>
      </c>
      <c r="D4" s="2" t="e">
        <f>F4</f>
        <v>#REF!</v>
      </c>
      <c r="E4" s="2" t="e">
        <f>VLOOKUP($I$2,$I$3:$L$4,C4,FALSE)</f>
        <v>#REF!</v>
      </c>
      <c r="F4" s="2" t="e">
        <f>VLOOKUP(E4,$I$8:$K$11,2,FALSE)</f>
        <v>#REF!</v>
      </c>
      <c r="G4" s="20"/>
      <c r="I4" s="4"/>
      <c r="J4" s="4"/>
      <c r="K4" s="4"/>
      <c r="L4" s="4"/>
    </row>
    <row r="5" spans="1:13" x14ac:dyDescent="0.3">
      <c r="A5" s="14" t="e">
        <f>VLOOKUP(A1,D4:H6,4,FALSE)</f>
        <v>#REF!</v>
      </c>
      <c r="B5" s="14" t="s">
        <v>200</v>
      </c>
      <c r="C5" s="1">
        <v>3</v>
      </c>
      <c r="D5" s="2" t="e">
        <f t="shared" ref="D5:D6" si="0">F5</f>
        <v>#REF!</v>
      </c>
      <c r="E5" s="2" t="e">
        <f>VLOOKUP($I$2,$I$3:$L$4,C5,FALSE)</f>
        <v>#REF!</v>
      </c>
      <c r="F5" s="2" t="e">
        <f t="shared" ref="F5:F6" si="1">VLOOKUP(E5,$I$8:$K$11,2,FALSE)</f>
        <v>#REF!</v>
      </c>
      <c r="G5" s="20"/>
      <c r="I5" s="18"/>
      <c r="J5" s="18"/>
      <c r="K5" s="18"/>
      <c r="L5" s="18"/>
    </row>
    <row r="6" spans="1:13" x14ac:dyDescent="0.3">
      <c r="C6" s="1">
        <v>4</v>
      </c>
      <c r="D6" s="2" t="e">
        <f t="shared" si="0"/>
        <v>#REF!</v>
      </c>
      <c r="E6" s="2" t="e">
        <f>VLOOKUP($I$2,$I$3:$L$4,C6,FALSE)</f>
        <v>#REF!</v>
      </c>
      <c r="F6" s="2" t="e">
        <f t="shared" si="1"/>
        <v>#REF!</v>
      </c>
      <c r="G6" s="20"/>
      <c r="I6" s="18"/>
      <c r="J6" s="18"/>
      <c r="K6" s="18"/>
      <c r="L6" s="18"/>
      <c r="M6" s="18"/>
    </row>
    <row r="7" spans="1:13" x14ac:dyDescent="0.3">
      <c r="C7" s="1">
        <v>5</v>
      </c>
      <c r="D7" s="2"/>
      <c r="E7" s="2"/>
      <c r="F7" s="2"/>
      <c r="G7" s="20"/>
    </row>
    <row r="8" spans="1:13" x14ac:dyDescent="0.3">
      <c r="C8" s="1">
        <v>6</v>
      </c>
      <c r="D8" s="2"/>
      <c r="E8" s="2"/>
      <c r="F8" s="2"/>
      <c r="G8" s="20"/>
      <c r="I8" s="2">
        <v>250</v>
      </c>
      <c r="J8" s="10" t="s">
        <v>242</v>
      </c>
      <c r="K8" s="10"/>
    </row>
    <row r="9" spans="1:13" x14ac:dyDescent="0.3">
      <c r="C9" s="1">
        <v>7</v>
      </c>
      <c r="D9" s="2"/>
      <c r="E9" s="2"/>
      <c r="F9" s="2"/>
      <c r="G9" s="20"/>
      <c r="I9" s="2">
        <v>500</v>
      </c>
      <c r="J9" s="10" t="s">
        <v>243</v>
      </c>
      <c r="K9" s="10"/>
    </row>
    <row r="10" spans="1:13" x14ac:dyDescent="0.3">
      <c r="C10" s="1">
        <v>8</v>
      </c>
      <c r="D10" s="2"/>
      <c r="E10" s="2"/>
      <c r="F10" s="2"/>
      <c r="G10" s="20"/>
      <c r="I10" s="2">
        <v>1000</v>
      </c>
      <c r="J10" s="10" t="s">
        <v>248</v>
      </c>
      <c r="K10" s="10"/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1"/>
  <sheetViews>
    <sheetView workbookViewId="0"/>
  </sheetViews>
  <sheetFormatPr defaultColWidth="9.33203125" defaultRowHeight="14.4" x14ac:dyDescent="0.3"/>
  <cols>
    <col min="1" max="1" width="18.5546875" style="1" customWidth="1"/>
    <col min="2" max="3" width="9.33203125" style="1"/>
    <col min="4" max="4" width="22.33203125" style="1" customWidth="1"/>
    <col min="5" max="5" width="9.6640625" style="1" customWidth="1"/>
    <col min="6" max="6" width="47.5546875" style="1" customWidth="1"/>
    <col min="7" max="7" width="9.33203125" style="1"/>
    <col min="8" max="8" width="11.5546875" style="1" customWidth="1"/>
    <col min="9" max="9" width="12.33203125" style="1" customWidth="1"/>
    <col min="10" max="16384" width="9.33203125" style="1"/>
  </cols>
  <sheetData>
    <row r="1" spans="1:14" x14ac:dyDescent="0.3">
      <c r="A1" s="3" t="e">
        <f>Generator!#REF!</f>
        <v>#REF!</v>
      </c>
      <c r="B1" s="3" t="s">
        <v>20</v>
      </c>
      <c r="H1" s="1" t="s">
        <v>33</v>
      </c>
    </row>
    <row r="2" spans="1:14" x14ac:dyDescent="0.3">
      <c r="A2" s="3" t="e">
        <f>VLOOKUP(A1,D4:F8,2,FALSE)</f>
        <v>#REF!</v>
      </c>
      <c r="B2" s="3" t="s">
        <v>21</v>
      </c>
      <c r="H2" s="1" t="e">
        <f>'BOT-Series'!A1</f>
        <v>#REF!</v>
      </c>
    </row>
    <row r="3" spans="1:14" x14ac:dyDescent="0.3">
      <c r="A3" s="3" t="e">
        <f>VLOOKUP(A1,D4:F8,3,FALSE)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238</v>
      </c>
      <c r="I3" s="5" t="s">
        <v>11</v>
      </c>
      <c r="J3" s="5" t="s">
        <v>12</v>
      </c>
      <c r="K3" s="4" t="s">
        <v>92</v>
      </c>
      <c r="L3" s="4" t="s">
        <v>13</v>
      </c>
      <c r="M3" s="4"/>
    </row>
    <row r="4" spans="1:14" x14ac:dyDescent="0.3">
      <c r="C4" s="1">
        <v>2</v>
      </c>
      <c r="D4" s="4" t="e">
        <f>IF(E4&lt;&gt;0,VLOOKUP(E4,$H$14:$I$18,2,FALSE),"")</f>
        <v>#REF!</v>
      </c>
      <c r="E4" s="2" t="e">
        <f>VLOOKUP($H$2,$H$3:$M$12,C4,FALSE)</f>
        <v>#REF!</v>
      </c>
      <c r="F4" s="4" t="e">
        <f>VLOOKUP(E4,$H$14:$J$18,3,FALSE)</f>
        <v>#REF!</v>
      </c>
      <c r="H4" s="2"/>
      <c r="I4" s="5"/>
      <c r="J4" s="5"/>
      <c r="K4" s="4"/>
      <c r="L4" s="4"/>
      <c r="M4" s="4"/>
    </row>
    <row r="5" spans="1:14" x14ac:dyDescent="0.3">
      <c r="C5" s="1">
        <v>3</v>
      </c>
      <c r="D5" s="4" t="e">
        <f t="shared" ref="D5:D8" si="0">IF(E5&lt;&gt;0,VLOOKUP(E5,$H$14:$I$18,2,FALSE),"")</f>
        <v>#REF!</v>
      </c>
      <c r="E5" s="2" t="e">
        <f t="shared" ref="E5:E8" si="1">VLOOKUP($H$2,$H$3:$M$12,C5,FALSE)</f>
        <v>#REF!</v>
      </c>
      <c r="F5" s="4" t="e">
        <f t="shared" ref="F5:F8" si="2">VLOOKUP(E5,$H$14:$J$18,3,FALSE)</f>
        <v>#REF!</v>
      </c>
      <c r="H5" s="17"/>
      <c r="I5" s="19"/>
      <c r="J5" s="19"/>
      <c r="K5" s="19"/>
      <c r="L5" s="19"/>
      <c r="M5" s="19"/>
    </row>
    <row r="6" spans="1:14" x14ac:dyDescent="0.3">
      <c r="C6" s="1">
        <v>4</v>
      </c>
      <c r="D6" s="4" t="e">
        <f t="shared" si="0"/>
        <v>#REF!</v>
      </c>
      <c r="E6" s="2" t="e">
        <f t="shared" si="1"/>
        <v>#REF!</v>
      </c>
      <c r="F6" s="4" t="e">
        <f t="shared" si="2"/>
        <v>#REF!</v>
      </c>
      <c r="H6" s="17"/>
      <c r="I6" s="19"/>
      <c r="J6" s="19"/>
      <c r="K6" s="19"/>
      <c r="L6" s="19"/>
      <c r="M6" s="19"/>
    </row>
    <row r="7" spans="1:14" x14ac:dyDescent="0.3">
      <c r="C7" s="1">
        <v>5</v>
      </c>
      <c r="D7" s="4" t="e">
        <f t="shared" si="0"/>
        <v>#REF!</v>
      </c>
      <c r="E7" s="2" t="e">
        <f t="shared" si="1"/>
        <v>#REF!</v>
      </c>
      <c r="F7" s="4" t="e">
        <f t="shared" si="2"/>
        <v>#REF!</v>
      </c>
      <c r="H7" s="17"/>
      <c r="I7" s="19"/>
      <c r="J7" s="19"/>
      <c r="K7" s="19"/>
      <c r="L7" s="19"/>
      <c r="M7" s="19"/>
    </row>
    <row r="8" spans="1:14" x14ac:dyDescent="0.3">
      <c r="C8" s="1">
        <v>6</v>
      </c>
      <c r="D8" s="4" t="e">
        <f t="shared" si="0"/>
        <v>#REF!</v>
      </c>
      <c r="E8" s="2" t="e">
        <f t="shared" si="1"/>
        <v>#REF!</v>
      </c>
      <c r="F8" s="4" t="e">
        <f t="shared" si="2"/>
        <v>#REF!</v>
      </c>
      <c r="H8" s="17"/>
      <c r="I8" s="19"/>
      <c r="J8" s="19"/>
      <c r="K8" s="19"/>
      <c r="L8" s="19"/>
      <c r="M8" s="19"/>
    </row>
    <row r="9" spans="1:14" x14ac:dyDescent="0.3">
      <c r="C9" s="1">
        <v>7</v>
      </c>
      <c r="D9" s="4"/>
      <c r="E9" s="2"/>
      <c r="F9" s="4"/>
      <c r="H9" s="17"/>
      <c r="I9" s="19"/>
      <c r="J9" s="19"/>
      <c r="K9" s="19"/>
      <c r="L9" s="19"/>
      <c r="M9" s="19"/>
    </row>
    <row r="10" spans="1:14" x14ac:dyDescent="0.3">
      <c r="H10" s="17"/>
      <c r="I10" s="19"/>
      <c r="J10" s="19"/>
      <c r="K10" s="19"/>
      <c r="L10" s="19"/>
      <c r="M10" s="19"/>
    </row>
    <row r="11" spans="1:14" x14ac:dyDescent="0.3">
      <c r="H11" s="17"/>
      <c r="I11" s="19"/>
      <c r="J11" s="19"/>
      <c r="K11" s="19"/>
      <c r="L11" s="19"/>
      <c r="M11" s="19"/>
    </row>
    <row r="12" spans="1:14" x14ac:dyDescent="0.3">
      <c r="H12" s="17"/>
      <c r="I12" s="19"/>
      <c r="J12" s="19"/>
      <c r="K12" s="19"/>
      <c r="L12" s="19"/>
      <c r="M12" s="19"/>
    </row>
    <row r="13" spans="1:14" x14ac:dyDescent="0.3">
      <c r="H13" s="59" t="s">
        <v>246</v>
      </c>
      <c r="I13" s="59" t="s">
        <v>23</v>
      </c>
      <c r="J13" s="129" t="s">
        <v>247</v>
      </c>
      <c r="K13" s="129"/>
      <c r="L13" s="129"/>
      <c r="M13" s="129"/>
      <c r="N13" s="129"/>
    </row>
    <row r="14" spans="1:14" x14ac:dyDescent="0.3">
      <c r="H14" s="2" t="s">
        <v>11</v>
      </c>
      <c r="I14" s="6" t="s">
        <v>42</v>
      </c>
      <c r="J14" s="130" t="s">
        <v>65</v>
      </c>
      <c r="K14" s="130"/>
      <c r="L14" s="130"/>
      <c r="M14" s="130"/>
      <c r="N14" s="130"/>
    </row>
    <row r="15" spans="1:14" x14ac:dyDescent="0.3">
      <c r="H15" s="2" t="s">
        <v>12</v>
      </c>
      <c r="I15" s="6" t="s">
        <v>43</v>
      </c>
      <c r="J15" s="130" t="s">
        <v>63</v>
      </c>
      <c r="K15" s="130"/>
      <c r="L15" s="130"/>
      <c r="M15" s="130"/>
      <c r="N15" s="130"/>
    </row>
    <row r="16" spans="1:14" x14ac:dyDescent="0.3">
      <c r="H16" s="2" t="s">
        <v>18</v>
      </c>
      <c r="I16" s="6" t="s">
        <v>44</v>
      </c>
      <c r="J16" s="130" t="s">
        <v>64</v>
      </c>
      <c r="K16" s="130"/>
      <c r="L16" s="130"/>
      <c r="M16" s="130"/>
      <c r="N16" s="130"/>
    </row>
    <row r="17" spans="8:14" x14ac:dyDescent="0.3">
      <c r="H17" s="2" t="s">
        <v>92</v>
      </c>
      <c r="I17" s="6" t="s">
        <v>144</v>
      </c>
      <c r="J17" s="130" t="s">
        <v>147</v>
      </c>
      <c r="K17" s="130"/>
      <c r="L17" s="130"/>
      <c r="M17" s="130"/>
      <c r="N17" s="130"/>
    </row>
    <row r="18" spans="8:14" x14ac:dyDescent="0.3">
      <c r="H18" s="2" t="s">
        <v>13</v>
      </c>
      <c r="I18" s="6" t="s">
        <v>145</v>
      </c>
      <c r="J18" s="130" t="s">
        <v>146</v>
      </c>
      <c r="K18" s="130"/>
      <c r="L18" s="130"/>
      <c r="M18" s="130"/>
      <c r="N18" s="130"/>
    </row>
    <row r="19" spans="8:14" x14ac:dyDescent="0.3">
      <c r="H19" s="2"/>
      <c r="I19" s="6"/>
      <c r="J19" s="130"/>
      <c r="K19" s="130"/>
      <c r="L19" s="130"/>
      <c r="M19" s="130"/>
      <c r="N19" s="130"/>
    </row>
    <row r="20" spans="8:14" x14ac:dyDescent="0.3">
      <c r="H20" s="2"/>
      <c r="I20" s="6"/>
      <c r="J20" s="130"/>
      <c r="K20" s="130"/>
      <c r="L20" s="130"/>
      <c r="M20" s="130"/>
      <c r="N20" s="130"/>
    </row>
    <row r="21" spans="8:14" x14ac:dyDescent="0.3">
      <c r="H21" s="2"/>
      <c r="I21" s="6"/>
      <c r="J21" s="130"/>
      <c r="K21" s="130"/>
      <c r="L21" s="130"/>
      <c r="M21" s="130"/>
      <c r="N21" s="130"/>
    </row>
  </sheetData>
  <mergeCells count="9">
    <mergeCell ref="J13:N13"/>
    <mergeCell ref="J20:N20"/>
    <mergeCell ref="J21:N21"/>
    <mergeCell ref="J14:N14"/>
    <mergeCell ref="J15:N15"/>
    <mergeCell ref="J16:N16"/>
    <mergeCell ref="J17:N17"/>
    <mergeCell ref="J18:N18"/>
    <mergeCell ref="J19:N19"/>
  </mergeCell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"/>
  <sheetViews>
    <sheetView workbookViewId="0"/>
  </sheetViews>
  <sheetFormatPr defaultColWidth="9.33203125" defaultRowHeight="14.4" x14ac:dyDescent="0.3"/>
  <cols>
    <col min="1" max="1" width="14.33203125" style="1" customWidth="1"/>
    <col min="2" max="3" width="9.33203125" style="1"/>
    <col min="4" max="4" width="16.44140625" style="1" customWidth="1"/>
    <col min="5" max="5" width="11.6640625" style="1" customWidth="1"/>
    <col min="6" max="6" width="20.6640625" style="1" customWidth="1"/>
    <col min="7" max="8" width="9.33203125" style="1"/>
    <col min="9" max="9" width="18.33203125" style="1" customWidth="1"/>
    <col min="10" max="16384" width="9.33203125" style="1"/>
  </cols>
  <sheetData>
    <row r="1" spans="1:14" x14ac:dyDescent="0.3">
      <c r="A1" s="3" t="e">
        <f>Generator!#REF!</f>
        <v>#REF!</v>
      </c>
      <c r="B1" s="3" t="s">
        <v>20</v>
      </c>
      <c r="H1" s="1" t="s">
        <v>33</v>
      </c>
    </row>
    <row r="2" spans="1:14" x14ac:dyDescent="0.3">
      <c r="A2" s="3" t="e">
        <f>VLOOKUP(A1,D4:F8,2,FALSE)</f>
        <v>#REF!</v>
      </c>
      <c r="B2" s="3" t="s">
        <v>21</v>
      </c>
      <c r="H2" s="1" t="e">
        <f>'BOT-Series'!A1</f>
        <v>#REF!</v>
      </c>
    </row>
    <row r="3" spans="1:14" s="26" customFormat="1" x14ac:dyDescent="0.3">
      <c r="A3" s="3" t="e">
        <f>VLOOKUP(A1,D4:F8,3,FALSE)</f>
        <v>#REF!</v>
      </c>
      <c r="B3" s="3" t="s">
        <v>22</v>
      </c>
      <c r="C3" s="1"/>
      <c r="D3" s="3" t="s">
        <v>23</v>
      </c>
      <c r="E3" s="3" t="s">
        <v>24</v>
      </c>
      <c r="F3" s="3" t="s">
        <v>25</v>
      </c>
      <c r="G3" s="1"/>
      <c r="H3" s="2" t="s">
        <v>238</v>
      </c>
      <c r="I3" s="4">
        <v>0</v>
      </c>
      <c r="J3" s="4">
        <v>3</v>
      </c>
      <c r="K3" s="4">
        <v>5</v>
      </c>
      <c r="L3" s="4">
        <v>7</v>
      </c>
      <c r="M3" s="4">
        <v>10</v>
      </c>
      <c r="N3" s="1"/>
    </row>
    <row r="4" spans="1:14" s="26" customFormat="1" x14ac:dyDescent="0.3">
      <c r="A4" s="14" t="e">
        <f>VLOOKUP($H$2,$H$18:$J$19,2,FALSE)</f>
        <v>#REF!</v>
      </c>
      <c r="B4" s="14" t="s">
        <v>199</v>
      </c>
      <c r="C4" s="1">
        <v>2</v>
      </c>
      <c r="D4" s="4" t="e">
        <f>VLOOKUP(E4,$H$10:$I$14,2,FALSE)</f>
        <v>#REF!</v>
      </c>
      <c r="E4" s="2" t="e">
        <f>VLOOKUP($H$2,$H$3:$M$4,C4,FALSE)</f>
        <v>#REF!</v>
      </c>
      <c r="F4" s="4" t="e">
        <f>VLOOKUP(E4,$H$10:$I$14,2,FALSE)</f>
        <v>#REF!</v>
      </c>
      <c r="G4" s="1"/>
      <c r="H4" s="2"/>
      <c r="I4" s="4"/>
      <c r="J4" s="4"/>
      <c r="K4" s="4"/>
      <c r="L4" s="4"/>
      <c r="M4" s="4"/>
      <c r="N4" s="1"/>
    </row>
    <row r="5" spans="1:14" s="26" customFormat="1" x14ac:dyDescent="0.3">
      <c r="A5" s="14" t="e">
        <f>VLOOKUP($H$2,$H$18:$J$19,3,FALSE)</f>
        <v>#REF!</v>
      </c>
      <c r="B5" s="14" t="s">
        <v>200</v>
      </c>
      <c r="C5" s="1">
        <v>3</v>
      </c>
      <c r="D5" s="4" t="e">
        <f>IF(E5&lt;&gt;0,VLOOKUP(E5,$H$10:$I$14,2,FALSE),"")</f>
        <v>#REF!</v>
      </c>
      <c r="E5" s="2" t="e">
        <f>VLOOKUP($H$2,$H$3:$M$4,C5,FALSE)</f>
        <v>#REF!</v>
      </c>
      <c r="F5" s="4" t="e">
        <f>VLOOKUP(E5,$H$10:$I$14,2,FALSE)</f>
        <v>#REF!</v>
      </c>
      <c r="G5" s="1"/>
      <c r="H5" s="1"/>
      <c r="I5" s="1"/>
      <c r="J5" s="1"/>
      <c r="K5" s="1"/>
      <c r="L5" s="1"/>
      <c r="M5" s="1"/>
      <c r="N5" s="1"/>
    </row>
    <row r="6" spans="1:14" s="26" customFormat="1" x14ac:dyDescent="0.3">
      <c r="A6" s="1"/>
      <c r="B6" s="1"/>
      <c r="C6" s="1">
        <v>4</v>
      </c>
      <c r="D6" s="4" t="e">
        <f>IF(E6&lt;&gt;0,VLOOKUP(E6,$H$10:$I$14,2,FALSE),"")</f>
        <v>#REF!</v>
      </c>
      <c r="E6" s="2" t="e">
        <f>VLOOKUP($H$2,$H$3:$M$4,C6,FALSE)</f>
        <v>#REF!</v>
      </c>
      <c r="F6" s="4" t="e">
        <f>VLOOKUP(E6,$H$10:$I$14,2,FALSE)</f>
        <v>#REF!</v>
      </c>
      <c r="G6" s="1"/>
      <c r="J6" s="1"/>
      <c r="K6" s="1"/>
      <c r="L6" s="1"/>
      <c r="M6" s="1"/>
      <c r="N6" s="1"/>
    </row>
    <row r="7" spans="1:14" s="26" customFormat="1" x14ac:dyDescent="0.3">
      <c r="A7" s="1"/>
      <c r="B7" s="1"/>
      <c r="C7" s="1">
        <v>5</v>
      </c>
      <c r="D7" s="4" t="e">
        <f>IF(E7&lt;&gt;0,VLOOKUP(E7,$H$10:$I$14,2,FALSE),"")</f>
        <v>#REF!</v>
      </c>
      <c r="E7" s="2" t="e">
        <f>VLOOKUP($H$2,$H$3:$M$4,C7,FALSE)</f>
        <v>#REF!</v>
      </c>
      <c r="F7" s="4" t="e">
        <f>VLOOKUP(E7,$H$10:$I$14,2,FALSE)</f>
        <v>#REF!</v>
      </c>
      <c r="G7" s="1"/>
      <c r="J7" s="1"/>
      <c r="K7" s="1"/>
      <c r="L7" s="1"/>
      <c r="M7" s="1"/>
      <c r="N7" s="1"/>
    </row>
    <row r="8" spans="1:14" s="26" customFormat="1" x14ac:dyDescent="0.3">
      <c r="A8" s="1"/>
      <c r="B8" s="1"/>
      <c r="C8" s="1">
        <v>6</v>
      </c>
      <c r="D8" s="4" t="e">
        <f>IF(E8&lt;&gt;0,VLOOKUP(E8,$H$10:$I$14,2,FALSE),"")</f>
        <v>#REF!</v>
      </c>
      <c r="E8" s="2" t="e">
        <f>VLOOKUP($H$2,$H$3:$M$4,C8,FALSE)</f>
        <v>#REF!</v>
      </c>
      <c r="F8" s="4" t="e">
        <f>VLOOKUP(E8,$H$10:$I$14,2,FALSE)</f>
        <v>#REF!</v>
      </c>
      <c r="G8" s="1"/>
      <c r="J8" s="1"/>
      <c r="K8" s="1"/>
      <c r="L8" s="1"/>
      <c r="M8" s="1"/>
      <c r="N8" s="1"/>
    </row>
    <row r="9" spans="1:14" s="26" customFormat="1" x14ac:dyDescent="0.3">
      <c r="A9" s="1"/>
      <c r="B9" s="1"/>
      <c r="C9" s="1">
        <v>7</v>
      </c>
      <c r="D9" s="4"/>
      <c r="E9" s="2"/>
      <c r="F9" s="4"/>
      <c r="G9" s="1"/>
      <c r="J9" s="1"/>
      <c r="K9" s="1"/>
      <c r="L9" s="1"/>
      <c r="M9" s="1"/>
      <c r="N9" s="1"/>
    </row>
    <row r="10" spans="1:14" s="26" customFormat="1" x14ac:dyDescent="0.3">
      <c r="A10" s="1"/>
      <c r="B10" s="1"/>
      <c r="C10" s="1"/>
      <c r="D10" s="1"/>
      <c r="E10" s="1"/>
      <c r="F10" s="1"/>
      <c r="G10" s="1"/>
      <c r="H10" s="2">
        <v>0</v>
      </c>
      <c r="I10" s="2" t="s">
        <v>155</v>
      </c>
      <c r="J10" s="1"/>
      <c r="K10" s="1"/>
      <c r="L10" s="1"/>
      <c r="M10" s="1"/>
      <c r="N10" s="1"/>
    </row>
    <row r="11" spans="1:14" s="26" customFormat="1" x14ac:dyDescent="0.3">
      <c r="A11" s="1"/>
      <c r="B11" s="1"/>
      <c r="C11" s="1"/>
      <c r="D11" s="1"/>
      <c r="E11" s="1"/>
      <c r="F11" s="1"/>
      <c r="G11" s="1"/>
      <c r="H11" s="2">
        <v>3</v>
      </c>
      <c r="I11" s="2" t="s">
        <v>156</v>
      </c>
      <c r="J11" s="1"/>
      <c r="K11" s="1"/>
      <c r="L11" s="1"/>
      <c r="M11" s="1"/>
      <c r="N11" s="1"/>
    </row>
    <row r="12" spans="1:14" s="26" customFormat="1" x14ac:dyDescent="0.3">
      <c r="A12" s="1"/>
      <c r="B12" s="1"/>
      <c r="C12" s="1"/>
      <c r="D12" s="1"/>
      <c r="E12" s="1"/>
      <c r="F12" s="1"/>
      <c r="G12" s="1"/>
      <c r="H12" s="2">
        <v>5</v>
      </c>
      <c r="I12" s="2" t="s">
        <v>157</v>
      </c>
      <c r="J12" s="1"/>
      <c r="K12" s="1"/>
      <c r="L12" s="1"/>
      <c r="M12" s="1"/>
      <c r="N12" s="1"/>
    </row>
    <row r="13" spans="1:14" s="26" customFormat="1" x14ac:dyDescent="0.3">
      <c r="A13" s="1"/>
      <c r="B13" s="1"/>
      <c r="C13" s="1"/>
      <c r="D13" s="1"/>
      <c r="E13" s="1"/>
      <c r="F13" s="1"/>
      <c r="G13" s="1"/>
      <c r="H13" s="2">
        <v>7</v>
      </c>
      <c r="I13" s="2" t="s">
        <v>158</v>
      </c>
      <c r="J13" s="1"/>
      <c r="K13" s="1"/>
      <c r="L13" s="1"/>
      <c r="M13" s="1"/>
      <c r="N13" s="1"/>
    </row>
    <row r="14" spans="1:14" s="26" customFormat="1" x14ac:dyDescent="0.3">
      <c r="A14" s="1"/>
      <c r="B14" s="1"/>
      <c r="C14" s="1"/>
      <c r="D14" s="1"/>
      <c r="E14" s="1"/>
      <c r="F14" s="1"/>
      <c r="G14" s="1"/>
      <c r="H14" s="2">
        <v>10</v>
      </c>
      <c r="I14" s="2" t="s">
        <v>159</v>
      </c>
      <c r="J14" s="1"/>
      <c r="K14" s="1"/>
      <c r="L14" s="1"/>
      <c r="M14" s="1"/>
      <c r="N14" s="1"/>
    </row>
    <row r="15" spans="1:14" s="26" customForma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6" customForma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6" customFormat="1" x14ac:dyDescent="0.3">
      <c r="A17" s="1"/>
      <c r="B17" s="1"/>
      <c r="C17" s="1"/>
      <c r="D17" s="1"/>
      <c r="E17" s="1"/>
      <c r="F17" s="1"/>
      <c r="G17" s="1"/>
      <c r="H17" s="1"/>
      <c r="I17" s="58" t="s">
        <v>244</v>
      </c>
      <c r="J17" s="58" t="s">
        <v>245</v>
      </c>
      <c r="K17" s="1"/>
      <c r="L17" s="1"/>
      <c r="M17" s="1"/>
      <c r="N17" s="1"/>
    </row>
    <row r="18" spans="1:14" s="26" customFormat="1" x14ac:dyDescent="0.3">
      <c r="A18" s="1"/>
      <c r="B18" s="1"/>
      <c r="C18" s="1"/>
      <c r="D18" s="1"/>
      <c r="E18" s="1"/>
      <c r="F18" s="1"/>
      <c r="G18" s="1"/>
      <c r="H18" s="14" t="s">
        <v>238</v>
      </c>
      <c r="I18" s="57" t="e">
        <f>ROUND((2718+((('BOT-X'!A2-250)/250)*312.5)+IF(Generator!#REF!="No Reduction",275,878)+1530+((('BOT-Y'!A2-250)/250*196.15)))*0.7*2,0)</f>
        <v>#REF!</v>
      </c>
      <c r="J18" s="14">
        <v>0</v>
      </c>
      <c r="K18" s="1"/>
      <c r="L18" s="1"/>
      <c r="M18" s="1"/>
      <c r="N18" s="1"/>
    </row>
    <row r="19" spans="1:14" s="26" customFormat="1" x14ac:dyDescent="0.3">
      <c r="A19" s="1"/>
      <c r="B19" s="1"/>
      <c r="C19" s="1"/>
      <c r="D19" s="1"/>
      <c r="E19" s="1"/>
      <c r="F19" s="1"/>
      <c r="G19" s="1"/>
      <c r="H19" s="14"/>
      <c r="I19" s="14"/>
      <c r="J19" s="14"/>
      <c r="K19" s="1"/>
      <c r="L19" s="1"/>
      <c r="M19" s="1"/>
      <c r="N19" s="1"/>
    </row>
    <row r="20" spans="1:14" s="26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6" customForma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6" customForma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6"/>
  <sheetViews>
    <sheetView workbookViewId="0">
      <selection activeCell="A3" sqref="A3"/>
    </sheetView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51.5546875" style="1" customWidth="1"/>
    <col min="7" max="16384" width="9.33203125" style="1"/>
  </cols>
  <sheetData>
    <row r="1" spans="1:6" x14ac:dyDescent="0.3">
      <c r="A1" s="3">
        <f>Generator!C10</f>
        <v>0</v>
      </c>
      <c r="B1" s="3" t="s">
        <v>20</v>
      </c>
    </row>
    <row r="2" spans="1:6" x14ac:dyDescent="0.3">
      <c r="A2" s="3" t="e">
        <f>IF(AND(Generator!C10="NEMA 17",'M-Stack'!A2=40),"SL17",VLOOKUP(A1,D4:F6,2,FALSE))</f>
        <v>#N/A</v>
      </c>
      <c r="B2" s="3" t="s">
        <v>21</v>
      </c>
    </row>
    <row r="3" spans="1:6" x14ac:dyDescent="0.3">
      <c r="A3" s="3" t="e">
        <f>VLOOKUP(A1,D4:F6,3,FALSE)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D4" s="2" t="s">
        <v>83</v>
      </c>
      <c r="E4" s="2" t="s">
        <v>88</v>
      </c>
      <c r="F4" s="2" t="str">
        <f>D4</f>
        <v>NEMA 17</v>
      </c>
    </row>
    <row r="5" spans="1:6" x14ac:dyDescent="0.3">
      <c r="D5" s="2" t="s">
        <v>76</v>
      </c>
      <c r="E5" s="2" t="s">
        <v>79</v>
      </c>
      <c r="F5" s="2" t="str">
        <f>D5</f>
        <v>NEMA 23</v>
      </c>
    </row>
    <row r="6" spans="1:6" x14ac:dyDescent="0.3">
      <c r="D6" s="2" t="s">
        <v>77</v>
      </c>
      <c r="E6" s="2" t="s">
        <v>78</v>
      </c>
      <c r="F6" s="2" t="str">
        <f>D6</f>
        <v>NEMA 34</v>
      </c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15"/>
  <sheetViews>
    <sheetView workbookViewId="0">
      <selection activeCell="H2" sqref="H2"/>
    </sheetView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16384" width="9.33203125" style="1"/>
  </cols>
  <sheetData>
    <row r="1" spans="1:15" x14ac:dyDescent="0.3">
      <c r="A1" s="3">
        <f>Generator!E10</f>
        <v>0</v>
      </c>
      <c r="B1" s="3" t="s">
        <v>20</v>
      </c>
      <c r="H1" s="1" t="s">
        <v>82</v>
      </c>
    </row>
    <row r="2" spans="1:15" x14ac:dyDescent="0.3">
      <c r="A2" s="3" t="e">
        <f>VLOOKUP(A1,D4:F10,2,FALSE)</f>
        <v>#N/A</v>
      </c>
      <c r="B2" s="3" t="s">
        <v>21</v>
      </c>
      <c r="H2" s="1">
        <f>'M-Frame'!A1</f>
        <v>0</v>
      </c>
    </row>
    <row r="3" spans="1:15" x14ac:dyDescent="0.3">
      <c r="A3" s="3" t="e">
        <f>VLOOKUP(A1,D4:F10,3,FALSE)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83</v>
      </c>
      <c r="I3" s="2">
        <v>20</v>
      </c>
      <c r="J3" s="2"/>
      <c r="K3" s="2"/>
      <c r="L3" s="2"/>
      <c r="M3" s="2"/>
      <c r="N3" s="3"/>
      <c r="O3" s="3"/>
    </row>
    <row r="4" spans="1:15" x14ac:dyDescent="0.3">
      <c r="C4" s="1">
        <v>2</v>
      </c>
      <c r="D4" s="2" t="e">
        <f>CONCATENATE(F4," - ",E4)</f>
        <v>#N/A</v>
      </c>
      <c r="E4" s="2" t="e">
        <f>VLOOKUP($H$2,$H$3:$O$6,C4,FALSE)</f>
        <v>#N/A</v>
      </c>
      <c r="F4" s="2" t="e">
        <f t="shared" ref="F4:F10" si="0">VLOOKUP(E4,$H$8:$I$15,2,FALSE)</f>
        <v>#N/A</v>
      </c>
      <c r="H4" s="2" t="s">
        <v>76</v>
      </c>
      <c r="I4" s="2">
        <v>16</v>
      </c>
      <c r="J4" s="2">
        <v>21</v>
      </c>
      <c r="K4" s="2">
        <v>37</v>
      </c>
      <c r="L4" s="2">
        <v>10</v>
      </c>
      <c r="M4" s="2">
        <v>20</v>
      </c>
      <c r="N4" s="3">
        <v>30</v>
      </c>
      <c r="O4" s="3">
        <v>40</v>
      </c>
    </row>
    <row r="5" spans="1:15" x14ac:dyDescent="0.3">
      <c r="C5" s="1">
        <v>3</v>
      </c>
      <c r="D5" s="2" t="e">
        <f>IF(E5&lt;&gt;0,CONCATENATE(F5," - ",E5),"")</f>
        <v>#N/A</v>
      </c>
      <c r="E5" s="2" t="e">
        <f t="shared" ref="E5:E10" si="1">VLOOKUP($H$2,$H$3:$O$6,C5,FALSE)</f>
        <v>#N/A</v>
      </c>
      <c r="F5" s="2" t="e">
        <f t="shared" si="0"/>
        <v>#N/A</v>
      </c>
      <c r="H5" s="2" t="s">
        <v>77</v>
      </c>
      <c r="I5" s="2">
        <v>16</v>
      </c>
      <c r="J5" s="2">
        <v>10</v>
      </c>
      <c r="K5" s="2">
        <v>20</v>
      </c>
      <c r="L5" s="2">
        <v>30</v>
      </c>
      <c r="M5" s="3">
        <v>40</v>
      </c>
      <c r="N5" s="3">
        <v>50</v>
      </c>
      <c r="O5" s="3"/>
    </row>
    <row r="6" spans="1:15" x14ac:dyDescent="0.3">
      <c r="C6" s="1">
        <v>4</v>
      </c>
      <c r="D6" s="2" t="e">
        <f t="shared" ref="D6:D10" si="2">IF(E6&lt;&gt;0,CONCATENATE(F6," - ",E6),"")</f>
        <v>#N/A</v>
      </c>
      <c r="E6" s="2" t="e">
        <f t="shared" si="1"/>
        <v>#N/A</v>
      </c>
      <c r="F6" s="2" t="e">
        <f t="shared" si="0"/>
        <v>#N/A</v>
      </c>
      <c r="H6" s="2"/>
      <c r="I6" s="2"/>
      <c r="J6" s="2"/>
      <c r="K6" s="2"/>
      <c r="L6" s="2"/>
      <c r="M6" s="2"/>
      <c r="N6" s="3"/>
      <c r="O6" s="3"/>
    </row>
    <row r="7" spans="1:15" x14ac:dyDescent="0.3">
      <c r="C7" s="1">
        <v>5</v>
      </c>
      <c r="D7" s="2" t="e">
        <f t="shared" si="2"/>
        <v>#N/A</v>
      </c>
      <c r="E7" s="2" t="e">
        <f t="shared" si="1"/>
        <v>#N/A</v>
      </c>
      <c r="F7" s="2" t="e">
        <f t="shared" si="0"/>
        <v>#N/A</v>
      </c>
    </row>
    <row r="8" spans="1:15" x14ac:dyDescent="0.3">
      <c r="C8" s="1">
        <v>6</v>
      </c>
      <c r="D8" s="2" t="e">
        <f t="shared" si="2"/>
        <v>#N/A</v>
      </c>
      <c r="E8" s="2" t="e">
        <f t="shared" si="1"/>
        <v>#N/A</v>
      </c>
      <c r="F8" s="2" t="e">
        <f t="shared" si="0"/>
        <v>#N/A</v>
      </c>
      <c r="H8" s="2">
        <v>16</v>
      </c>
      <c r="I8" s="2" t="s">
        <v>80</v>
      </c>
      <c r="J8" s="63"/>
    </row>
    <row r="9" spans="1:15" x14ac:dyDescent="0.3">
      <c r="C9" s="1">
        <v>7</v>
      </c>
      <c r="D9" s="2" t="e">
        <f t="shared" si="2"/>
        <v>#N/A</v>
      </c>
      <c r="E9" s="2" t="e">
        <f t="shared" si="1"/>
        <v>#N/A</v>
      </c>
      <c r="F9" s="2" t="e">
        <f t="shared" si="0"/>
        <v>#N/A</v>
      </c>
      <c r="H9" s="2">
        <v>21</v>
      </c>
      <c r="I9" s="2" t="s">
        <v>150</v>
      </c>
      <c r="J9" s="63"/>
    </row>
    <row r="10" spans="1:15" x14ac:dyDescent="0.3">
      <c r="C10" s="1">
        <v>8</v>
      </c>
      <c r="D10" s="2" t="e">
        <f t="shared" si="2"/>
        <v>#N/A</v>
      </c>
      <c r="E10" s="2" t="e">
        <f t="shared" si="1"/>
        <v>#N/A</v>
      </c>
      <c r="F10" s="2" t="e">
        <f t="shared" si="0"/>
        <v>#N/A</v>
      </c>
      <c r="H10" s="2">
        <v>37</v>
      </c>
      <c r="I10" s="2" t="s">
        <v>81</v>
      </c>
      <c r="J10" s="63"/>
    </row>
    <row r="11" spans="1:15" x14ac:dyDescent="0.3">
      <c r="H11" s="2">
        <v>10</v>
      </c>
      <c r="I11" s="62" t="s">
        <v>84</v>
      </c>
      <c r="J11" s="64"/>
    </row>
    <row r="12" spans="1:15" x14ac:dyDescent="0.3">
      <c r="H12" s="2">
        <v>20</v>
      </c>
      <c r="I12" s="62" t="s">
        <v>85</v>
      </c>
      <c r="J12" s="64"/>
    </row>
    <row r="13" spans="1:15" x14ac:dyDescent="0.3">
      <c r="H13" s="2">
        <v>30</v>
      </c>
      <c r="I13" s="62" t="s">
        <v>86</v>
      </c>
      <c r="J13" s="64"/>
    </row>
    <row r="14" spans="1:15" x14ac:dyDescent="0.3">
      <c r="H14" s="2">
        <v>40</v>
      </c>
      <c r="I14" s="62" t="s">
        <v>87</v>
      </c>
      <c r="J14" s="64"/>
    </row>
    <row r="15" spans="1:15" x14ac:dyDescent="0.3">
      <c r="H15" s="2">
        <v>50</v>
      </c>
      <c r="I15" s="62" t="s">
        <v>87</v>
      </c>
      <c r="J15" s="64"/>
    </row>
  </sheetData>
  <customSheetViews>
    <customSheetView guid="{52C17BD0-9019-43AE-9B1C-4B881AB3FBFD}" state="hidden">
      <selection activeCell="B18" sqref="B1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5"/>
  <sheetViews>
    <sheetView workbookViewId="0">
      <selection activeCell="D6" sqref="D6"/>
    </sheetView>
  </sheetViews>
  <sheetFormatPr defaultColWidth="9.33203125" defaultRowHeight="14.4" x14ac:dyDescent="0.3"/>
  <cols>
    <col min="1" max="1" width="14.6640625" style="1" customWidth="1"/>
    <col min="2" max="3" width="9.33203125" style="1"/>
    <col min="4" max="4" width="8.33203125" style="1" customWidth="1"/>
    <col min="5" max="5" width="10.5546875" style="1" customWidth="1"/>
    <col min="6" max="6" width="20" style="1" customWidth="1"/>
    <col min="7" max="16384" width="9.33203125" style="1"/>
  </cols>
  <sheetData>
    <row r="1" spans="1:6" x14ac:dyDescent="0.3">
      <c r="A1" s="3">
        <f>Generator!G10</f>
        <v>0</v>
      </c>
      <c r="B1" s="3" t="s">
        <v>20</v>
      </c>
    </row>
    <row r="2" spans="1:6" x14ac:dyDescent="0.3">
      <c r="A2" s="3" t="e">
        <f>VLOOKUP(A1,D4:F5,2,FALSE)</f>
        <v>#N/A</v>
      </c>
      <c r="B2" s="3" t="s">
        <v>21</v>
      </c>
    </row>
    <row r="3" spans="1:6" x14ac:dyDescent="0.3">
      <c r="A3" s="3" t="e">
        <f>VLOOKUP(A1,D4:F5,3,FALSE)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D4" s="2" t="e">
        <f>IF(AND('M-Stack'!A2=21,EXACT('M-Frame'!A2,"SM23")),"",IF(AND('M-Stack'!A2=40,EXACT('M-Frame'!A2,"SL17")),"",5))</f>
        <v>#N/A</v>
      </c>
      <c r="E4" s="2" t="e">
        <f>IF(D4&gt;0,D4,1/0)</f>
        <v>#N/A</v>
      </c>
      <c r="F4" s="2" t="s">
        <v>91</v>
      </c>
    </row>
    <row r="5" spans="1:6" x14ac:dyDescent="0.3">
      <c r="D5" s="2" t="e">
        <f>IF(AND(OR('M-Stack'!A2=16,'M-Stack'!A2=21,'M-Stack'!A2=40,'M-Stack'!A2=37),OR(EXACT('M-Frame'!A2,"SM23"),EXACT('M-Frame'!A2,"SL17"),(EXACT('M-Frame'!A2,"SM34"))),NOT(AND('M-Frame'!A2="SM23",'M-Stack'!A2=40))),6,"")</f>
        <v>#N/A</v>
      </c>
      <c r="E5" s="2" t="e">
        <f>IF(D5&gt;0,D5,1/0)</f>
        <v>#N/A</v>
      </c>
      <c r="F5" s="2" t="e">
        <f>IF(D5&gt;0,"Class 6",1/0)</f>
        <v>#N/A</v>
      </c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workbookViewId="0">
      <selection activeCell="A3" sqref="A3"/>
    </sheetView>
  </sheetViews>
  <sheetFormatPr defaultColWidth="9.33203125" defaultRowHeight="14.4" x14ac:dyDescent="0.3"/>
  <cols>
    <col min="1" max="1" width="23.4414062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7" width="9.33203125" style="1"/>
    <col min="8" max="8" width="17.5546875" style="1" customWidth="1"/>
    <col min="9" max="9" width="14.5546875" style="1" customWidth="1"/>
    <col min="10" max="16384" width="9.33203125" style="1"/>
  </cols>
  <sheetData>
    <row r="1" spans="1:13" x14ac:dyDescent="0.3">
      <c r="A1" s="3">
        <f>Generator!H10</f>
        <v>0</v>
      </c>
      <c r="B1" s="3" t="s">
        <v>20</v>
      </c>
      <c r="H1" s="1" t="s">
        <v>82</v>
      </c>
    </row>
    <row r="2" spans="1:13" x14ac:dyDescent="0.3">
      <c r="A2" s="3" t="e">
        <f>VLOOKUP(A1,D4:F8,2,FALSE)</f>
        <v>#N/A</v>
      </c>
      <c r="B2" s="3" t="s">
        <v>21</v>
      </c>
      <c r="H2" s="1">
        <f>'M-Frame'!A1</f>
        <v>0</v>
      </c>
    </row>
    <row r="3" spans="1:13" x14ac:dyDescent="0.3">
      <c r="A3" s="3" t="e">
        <f>VLOOKUP(A1,D4:F8,3,FALSE)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83</v>
      </c>
      <c r="I3" s="2" t="s">
        <v>92</v>
      </c>
      <c r="J3" s="2"/>
      <c r="K3" s="2"/>
      <c r="L3" s="2"/>
      <c r="M3" s="65"/>
    </row>
    <row r="4" spans="1:13" x14ac:dyDescent="0.3">
      <c r="A4" s="14" t="e">
        <f>VLOOKUP(H13,H14:I36,2,FALSE)</f>
        <v>#N/A</v>
      </c>
      <c r="B4" s="14" t="s">
        <v>199</v>
      </c>
      <c r="C4" s="1">
        <v>2</v>
      </c>
      <c r="D4" s="2" t="e">
        <f>IF(E4&lt;&gt;0,F4,"")</f>
        <v>#N/A</v>
      </c>
      <c r="E4" s="2" t="e">
        <f>VLOOKUP($H$2,$H$3:$M$6,C4,FALSE)</f>
        <v>#N/A</v>
      </c>
      <c r="F4" s="2" t="e">
        <f>VLOOKUP(E4,$H$8:$I$12,2,FALSE)</f>
        <v>#N/A</v>
      </c>
      <c r="H4" s="2" t="s">
        <v>76</v>
      </c>
      <c r="I4" s="2" t="e">
        <f>IF('M-Class'!A2=5,"D",IF(AND('M-Class'!A2=6,'M-Stack'!A2=16),"D",0))</f>
        <v>#N/A</v>
      </c>
      <c r="J4" s="2" t="e">
        <f>IF(OR('M-Stack'!A2=16,'M-Stack'!A2=37),"DT",0)</f>
        <v>#N/A</v>
      </c>
      <c r="K4" s="2" t="e">
        <f>IF('M-Stack'!A2=16,"MT",0)</f>
        <v>#N/A</v>
      </c>
      <c r="L4" s="2" t="e">
        <f>IF(AND('M-Stack'!A2=21,'M-Class'!A2=6),"MH",0)</f>
        <v>#N/A</v>
      </c>
      <c r="M4" s="66" t="e">
        <f>IF(AND('M-Stack'!A2=16,'M-Class'!A2=6),"MT2",0)</f>
        <v>#N/A</v>
      </c>
    </row>
    <row r="5" spans="1:13" x14ac:dyDescent="0.3">
      <c r="A5" s="14">
        <v>0</v>
      </c>
      <c r="B5" s="14" t="s">
        <v>200</v>
      </c>
      <c r="C5" s="1">
        <v>3</v>
      </c>
      <c r="D5" s="2" t="e">
        <f>IF(E5&lt;&gt;0,F5,"")</f>
        <v>#N/A</v>
      </c>
      <c r="E5" s="2" t="e">
        <f>VLOOKUP($H$2,$H$3:$M$6,C5,FALSE)</f>
        <v>#N/A</v>
      </c>
      <c r="F5" s="2" t="e">
        <f>VLOOKUP(E5,$H$8:$I$12,2,FALSE)</f>
        <v>#N/A</v>
      </c>
      <c r="H5" s="2" t="s">
        <v>77</v>
      </c>
      <c r="I5" s="2" t="s">
        <v>92</v>
      </c>
      <c r="J5" s="2" t="e">
        <f>IF(AND('M-Stack'!A2=16,'M-Class'!A2=5),"DT",0)</f>
        <v>#N/A</v>
      </c>
      <c r="K5" s="2" t="e">
        <f>IF(AND('M-Stack'!A2=16,OR('M-Class'!A2=5,'M-Class'!A2=6)),"MT",0)</f>
        <v>#N/A</v>
      </c>
      <c r="L5" s="2"/>
      <c r="M5" s="66" t="e">
        <f>IF(AND('M-Stack'!A2=16,'M-Class'!A2=6),"MT2",0)</f>
        <v>#N/A</v>
      </c>
    </row>
    <row r="6" spans="1:13" x14ac:dyDescent="0.3">
      <c r="C6" s="1">
        <v>4</v>
      </c>
      <c r="D6" s="2" t="e">
        <f>IF(E6&lt;&gt;0,F6,"")</f>
        <v>#N/A</v>
      </c>
      <c r="E6" s="2" t="e">
        <f>VLOOKUP($H$2,$H$3:$M$6,C6,FALSE)</f>
        <v>#N/A</v>
      </c>
      <c r="F6" s="2" t="e">
        <f>VLOOKUP(E6,$H$8:$I$12,2,FALSE)</f>
        <v>#N/A</v>
      </c>
      <c r="H6" s="2"/>
      <c r="I6" s="2"/>
      <c r="J6" s="2"/>
      <c r="K6" s="2"/>
      <c r="L6" s="2"/>
      <c r="M6" s="65"/>
    </row>
    <row r="7" spans="1:13" x14ac:dyDescent="0.3">
      <c r="C7" s="1">
        <v>5</v>
      </c>
      <c r="D7" s="2" t="e">
        <f>IF(E7&lt;&gt;0,F7,"")</f>
        <v>#N/A</v>
      </c>
      <c r="E7" s="2" t="e">
        <f>VLOOKUP($H$2,$H$3:$M$6,C7,FALSE)</f>
        <v>#N/A</v>
      </c>
      <c r="F7" s="2" t="e">
        <f>VLOOKUP(E7,$H$8:$I$12,2,FALSE)</f>
        <v>#N/A</v>
      </c>
    </row>
    <row r="8" spans="1:13" x14ac:dyDescent="0.3">
      <c r="C8" s="1">
        <v>6</v>
      </c>
      <c r="D8" s="2" t="e">
        <f>IF(E8&lt;&gt;0,F8,"")</f>
        <v>#N/A</v>
      </c>
      <c r="E8" s="2" t="e">
        <f t="shared" ref="E8" si="0">VLOOKUP($H$2,$H$3:$M$6,C8,FALSE)</f>
        <v>#N/A</v>
      </c>
      <c r="F8" s="2" t="e">
        <f>VLOOKUP(E8,$H$8:$I$12,2,FALSE)</f>
        <v>#N/A</v>
      </c>
      <c r="H8" s="2" t="s">
        <v>92</v>
      </c>
      <c r="I8" s="62" t="s">
        <v>96</v>
      </c>
    </row>
    <row r="9" spans="1:13" x14ac:dyDescent="0.3">
      <c r="H9" s="2" t="s">
        <v>93</v>
      </c>
      <c r="I9" s="62" t="s">
        <v>98</v>
      </c>
    </row>
    <row r="10" spans="1:13" x14ac:dyDescent="0.3">
      <c r="H10" s="2" t="s">
        <v>94</v>
      </c>
      <c r="I10" s="62" t="s">
        <v>97</v>
      </c>
      <c r="M10" s="1" t="s">
        <v>519</v>
      </c>
    </row>
    <row r="11" spans="1:13" x14ac:dyDescent="0.3">
      <c r="H11" s="2" t="s">
        <v>95</v>
      </c>
      <c r="I11" s="62" t="s">
        <v>99</v>
      </c>
      <c r="M11" s="1" t="s">
        <v>520</v>
      </c>
    </row>
    <row r="12" spans="1:13" x14ac:dyDescent="0.3">
      <c r="H12" s="67" t="s">
        <v>254</v>
      </c>
      <c r="I12" s="65" t="s">
        <v>255</v>
      </c>
    </row>
    <row r="13" spans="1:13" x14ac:dyDescent="0.3">
      <c r="H13" s="14" t="e">
        <f>CONCATENATE('[1]M-Frame'!A2,'[1]M-Stack'!A2,'[1]M-Class'!A2,'[1]M-Series'!A2)</f>
        <v>#N/A</v>
      </c>
    </row>
    <row r="14" spans="1:13" x14ac:dyDescent="0.3">
      <c r="H14" s="14" t="s">
        <v>179</v>
      </c>
      <c r="I14" s="68">
        <v>1445</v>
      </c>
      <c r="J14" s="69"/>
    </row>
    <row r="15" spans="1:13" x14ac:dyDescent="0.3">
      <c r="H15" s="14" t="s">
        <v>249</v>
      </c>
      <c r="I15" s="68">
        <v>792</v>
      </c>
      <c r="J15" s="69"/>
    </row>
    <row r="16" spans="1:13" x14ac:dyDescent="0.3">
      <c r="H16" s="14" t="s">
        <v>180</v>
      </c>
      <c r="I16" s="68">
        <v>885</v>
      </c>
      <c r="J16" s="69"/>
    </row>
    <row r="17" spans="8:10" x14ac:dyDescent="0.3">
      <c r="H17" s="14" t="s">
        <v>181</v>
      </c>
      <c r="I17" s="68">
        <v>1032</v>
      </c>
      <c r="J17" s="69"/>
    </row>
    <row r="18" spans="8:10" x14ac:dyDescent="0.3">
      <c r="H18" s="14" t="s">
        <v>182</v>
      </c>
      <c r="I18" s="68">
        <v>1323</v>
      </c>
      <c r="J18" s="69"/>
    </row>
    <row r="19" spans="8:10" x14ac:dyDescent="0.3">
      <c r="H19" s="14" t="s">
        <v>183</v>
      </c>
      <c r="I19" s="68">
        <v>1606</v>
      </c>
      <c r="J19" s="69"/>
    </row>
    <row r="20" spans="8:10" x14ac:dyDescent="0.3">
      <c r="H20" s="14" t="s">
        <v>184</v>
      </c>
      <c r="I20" s="68">
        <v>2743</v>
      </c>
      <c r="J20" s="69"/>
    </row>
    <row r="21" spans="8:10" x14ac:dyDescent="0.3">
      <c r="H21" s="14" t="s">
        <v>185</v>
      </c>
      <c r="I21" s="68">
        <v>2029</v>
      </c>
      <c r="J21" s="69"/>
    </row>
    <row r="22" spans="8:10" x14ac:dyDescent="0.3">
      <c r="H22" s="14" t="s">
        <v>186</v>
      </c>
      <c r="I22" s="68">
        <v>2111</v>
      </c>
      <c r="J22" s="69"/>
    </row>
    <row r="23" spans="8:10" x14ac:dyDescent="0.3">
      <c r="H23" s="14" t="s">
        <v>187</v>
      </c>
      <c r="I23" s="68">
        <v>2355</v>
      </c>
      <c r="J23" s="69"/>
    </row>
    <row r="24" spans="8:10" x14ac:dyDescent="0.3">
      <c r="H24" s="14" t="s">
        <v>188</v>
      </c>
      <c r="I24" s="68">
        <v>1492</v>
      </c>
      <c r="J24" s="69"/>
    </row>
    <row r="25" spans="8:10" x14ac:dyDescent="0.3">
      <c r="H25" s="14" t="s">
        <v>189</v>
      </c>
      <c r="I25" s="68">
        <v>1722</v>
      </c>
      <c r="J25" s="69"/>
    </row>
    <row r="26" spans="8:10" x14ac:dyDescent="0.3">
      <c r="H26" s="14" t="s">
        <v>190</v>
      </c>
      <c r="I26" s="68">
        <v>1755</v>
      </c>
      <c r="J26" s="69"/>
    </row>
    <row r="27" spans="8:10" x14ac:dyDescent="0.3">
      <c r="H27" s="14" t="s">
        <v>191</v>
      </c>
      <c r="I27" s="68">
        <v>2355</v>
      </c>
      <c r="J27" s="69"/>
    </row>
    <row r="28" spans="8:10" x14ac:dyDescent="0.3">
      <c r="H28" s="14" t="s">
        <v>192</v>
      </c>
      <c r="I28" s="68">
        <v>2062</v>
      </c>
      <c r="J28" s="69"/>
    </row>
    <row r="29" spans="8:10" x14ac:dyDescent="0.3">
      <c r="H29" s="14" t="s">
        <v>193</v>
      </c>
      <c r="I29" s="68">
        <v>2261</v>
      </c>
      <c r="J29" s="69"/>
    </row>
    <row r="30" spans="8:10" x14ac:dyDescent="0.3">
      <c r="H30" s="14" t="s">
        <v>194</v>
      </c>
      <c r="I30" s="68">
        <v>3925</v>
      </c>
      <c r="J30" s="69"/>
    </row>
    <row r="31" spans="8:10" x14ac:dyDescent="0.3">
      <c r="H31" s="14" t="s">
        <v>195</v>
      </c>
      <c r="I31" s="68">
        <v>1930</v>
      </c>
      <c r="J31" s="69"/>
    </row>
    <row r="32" spans="8:10" x14ac:dyDescent="0.3">
      <c r="H32" s="14" t="s">
        <v>196</v>
      </c>
      <c r="I32" s="68">
        <v>2743</v>
      </c>
      <c r="J32" s="69"/>
    </row>
    <row r="33" spans="8:10" x14ac:dyDescent="0.3">
      <c r="H33" s="14" t="s">
        <v>197</v>
      </c>
      <c r="I33" s="68">
        <v>1840</v>
      </c>
      <c r="J33" s="69"/>
    </row>
    <row r="34" spans="8:10" x14ac:dyDescent="0.3">
      <c r="H34" s="14" t="s">
        <v>198</v>
      </c>
      <c r="I34" s="68">
        <v>1279</v>
      </c>
      <c r="J34" s="69"/>
    </row>
    <row r="35" spans="8:10" x14ac:dyDescent="0.3">
      <c r="H35" s="14" t="s">
        <v>256</v>
      </c>
      <c r="I35" s="68">
        <v>1840</v>
      </c>
    </row>
    <row r="36" spans="8:10" x14ac:dyDescent="0.3">
      <c r="H36" s="14" t="s">
        <v>257</v>
      </c>
      <c r="I36" s="68">
        <v>3700</v>
      </c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conditionalFormatting sqref="H14:H34">
    <cfRule type="expression" dxfId="0" priority="1" stopIfTrue="1">
      <formula>$H14=$H$13</formula>
    </cfRule>
  </conditionalFormatting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25"/>
  <sheetViews>
    <sheetView workbookViewId="0">
      <selection activeCell="J5" sqref="J5"/>
    </sheetView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14.6640625" style="1" customWidth="1"/>
    <col min="5" max="5" width="10.5546875" style="1" customWidth="1"/>
    <col min="6" max="6" width="15.33203125" style="1" bestFit="1" customWidth="1"/>
    <col min="7" max="10" width="9.33203125" style="1"/>
    <col min="11" max="11" width="17" style="1" customWidth="1"/>
    <col min="12" max="16384" width="9.33203125" style="1"/>
  </cols>
  <sheetData>
    <row r="1" spans="1:12" x14ac:dyDescent="0.3">
      <c r="A1" s="3">
        <f>Generator!K10</f>
        <v>0</v>
      </c>
      <c r="B1" s="3" t="s">
        <v>20</v>
      </c>
    </row>
    <row r="2" spans="1:12" x14ac:dyDescent="0.3">
      <c r="A2" s="3" t="e">
        <f>IF(Generator!G10=6,"",IF(AND(Generator!G10=5,D14="MT",NOT(A1="Non-IP rated")),"-IP",IF(AND(Generator!G10=5,D14="MT",A1="Non-IP rated"),"",VLOOKUP(A1,D4:F6,2,FALSE))))</f>
        <v>#N/A</v>
      </c>
      <c r="B2" s="3" t="s">
        <v>21</v>
      </c>
    </row>
    <row r="3" spans="1:12" x14ac:dyDescent="0.3">
      <c r="A3" s="3" t="e">
        <f>VLOOKUP(A1,I16:K19,3,FALSE)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G3" s="14"/>
    </row>
    <row r="4" spans="1:12" x14ac:dyDescent="0.3">
      <c r="A4" s="14" t="e">
        <f>VLOOKUP(A1,D4:G6,4,FALSE)</f>
        <v>#N/A</v>
      </c>
      <c r="B4" s="14" t="s">
        <v>199</v>
      </c>
      <c r="C4" s="1">
        <v>2</v>
      </c>
      <c r="D4" s="2" t="e">
        <f>IF(E4&lt;&gt;0,F4,"")</f>
        <v>#N/A</v>
      </c>
      <c r="E4" s="2" t="e">
        <f>IF(AND(Generator!$G$10=6,('M-Frame'!$A$1&lt;&gt;"NEMA 17")),"",VLOOKUP($D$14,$D$15:$G$17,C4,FALSE))</f>
        <v>#N/A</v>
      </c>
      <c r="F4" s="2" t="e">
        <f>IF(AND('M-Frame'!$A$1="NEMA 23",Generator!$G$10=6),"IP not available",VLOOKUP(E4,$D$20:$E$24,2,FALSE))</f>
        <v>#N/A</v>
      </c>
      <c r="G4" s="14" t="e">
        <f>VLOOKUP(D4,E20:F25,2,FALSE)</f>
        <v>#N/A</v>
      </c>
    </row>
    <row r="5" spans="1:12" x14ac:dyDescent="0.3">
      <c r="A5" s="14">
        <v>0</v>
      </c>
      <c r="B5" s="14" t="s">
        <v>200</v>
      </c>
      <c r="C5" s="1">
        <v>3</v>
      </c>
      <c r="D5" s="2" t="e">
        <f>IF(E5&lt;&gt;0,F5,"")</f>
        <v>#N/A</v>
      </c>
      <c r="E5" s="2" t="e">
        <f>VLOOKUP($D$14,$D$15:$G$18,IF(AND(Generator!$G$10=6,Generator!$L$10="No Brake"),C4,C5),FALSE)</f>
        <v>#N/A</v>
      </c>
      <c r="F5" s="2" t="e">
        <f>VLOOKUP(E5,$D$20:$E$24,2,FALSE)</f>
        <v>#N/A</v>
      </c>
      <c r="G5" s="14" t="e">
        <f>VLOOKUP(D5,E20:F25,2,FALSE)</f>
        <v>#N/A</v>
      </c>
    </row>
    <row r="6" spans="1:12" x14ac:dyDescent="0.3">
      <c r="C6" s="1">
        <v>4</v>
      </c>
      <c r="D6" s="2" t="e">
        <f>IF(E6&lt;&gt;0,F6,"")</f>
        <v>#N/A</v>
      </c>
      <c r="E6" s="2" t="e">
        <f>VLOOKUP($D$14,$D$15:$G$17,C6,FALSE)</f>
        <v>#N/A</v>
      </c>
      <c r="F6" s="2" t="e">
        <f>IF(Generator!G10=6,"",VLOOKUP(E6,$D$20:$E$24,2,FALSE))</f>
        <v>#N/A</v>
      </c>
      <c r="G6" s="14">
        <v>0</v>
      </c>
    </row>
    <row r="13" spans="1:12" x14ac:dyDescent="0.3">
      <c r="D13" s="1" t="s">
        <v>90</v>
      </c>
    </row>
    <row r="14" spans="1:12" x14ac:dyDescent="0.3">
      <c r="D14" s="1" t="e">
        <f>'M-Series'!A2</f>
        <v>#N/A</v>
      </c>
    </row>
    <row r="15" spans="1:12" x14ac:dyDescent="0.3">
      <c r="D15" s="2" t="s">
        <v>92</v>
      </c>
      <c r="E15" s="8" t="s">
        <v>138</v>
      </c>
      <c r="F15" s="8" t="e">
        <f>IF('M-Stack'!A2=10,0,"-DE")</f>
        <v>#N/A</v>
      </c>
      <c r="G15" s="8" t="s">
        <v>227</v>
      </c>
      <c r="I15" s="65" t="s">
        <v>23</v>
      </c>
      <c r="J15" s="65" t="s">
        <v>24</v>
      </c>
      <c r="K15" s="65" t="s">
        <v>247</v>
      </c>
      <c r="L15" s="96"/>
    </row>
    <row r="16" spans="1:12" x14ac:dyDescent="0.3">
      <c r="D16" s="2" t="s">
        <v>93</v>
      </c>
      <c r="E16" s="8" t="s">
        <v>138</v>
      </c>
      <c r="F16" s="8" t="s">
        <v>226</v>
      </c>
      <c r="G16" s="8" t="s">
        <v>227</v>
      </c>
      <c r="I16" s="65" t="s">
        <v>73</v>
      </c>
      <c r="J16" s="8" t="s">
        <v>226</v>
      </c>
      <c r="K16" s="65" t="s">
        <v>521</v>
      </c>
      <c r="L16" s="96"/>
    </row>
    <row r="17" spans="4:12" x14ac:dyDescent="0.3">
      <c r="D17" s="2" t="s">
        <v>94</v>
      </c>
      <c r="E17" s="8" t="s">
        <v>230</v>
      </c>
      <c r="F17" s="8" t="s">
        <v>231</v>
      </c>
      <c r="G17" s="8" t="s">
        <v>116</v>
      </c>
      <c r="I17" s="65" t="s">
        <v>227</v>
      </c>
      <c r="J17" s="66" t="s">
        <v>138</v>
      </c>
      <c r="K17" s="66" t="s">
        <v>138</v>
      </c>
      <c r="L17" s="96"/>
    </row>
    <row r="18" spans="4:12" x14ac:dyDescent="0.3">
      <c r="D18" s="67" t="s">
        <v>254</v>
      </c>
      <c r="E18" s="8" t="s">
        <v>230</v>
      </c>
      <c r="F18" s="8" t="s">
        <v>231</v>
      </c>
      <c r="G18" s="67"/>
      <c r="I18" s="65" t="s">
        <v>229</v>
      </c>
      <c r="J18" s="8" t="s">
        <v>230</v>
      </c>
      <c r="K18" s="65" t="s">
        <v>522</v>
      </c>
      <c r="L18" s="96"/>
    </row>
    <row r="19" spans="4:12" x14ac:dyDescent="0.3">
      <c r="F19" s="1" t="s">
        <v>232</v>
      </c>
      <c r="I19" s="65" t="s">
        <v>228</v>
      </c>
      <c r="J19" s="8" t="s">
        <v>230</v>
      </c>
      <c r="K19" s="65" t="s">
        <v>523</v>
      </c>
    </row>
    <row r="20" spans="4:12" x14ac:dyDescent="0.3">
      <c r="D20" s="8" t="s">
        <v>138</v>
      </c>
      <c r="E20" s="12" t="s">
        <v>227</v>
      </c>
      <c r="F20" s="12">
        <v>0</v>
      </c>
    </row>
    <row r="21" spans="4:12" x14ac:dyDescent="0.3">
      <c r="D21" s="8" t="s">
        <v>226</v>
      </c>
      <c r="E21" s="62" t="s">
        <v>73</v>
      </c>
      <c r="F21" s="70">
        <v>35.19</v>
      </c>
    </row>
    <row r="22" spans="4:12" x14ac:dyDescent="0.3">
      <c r="D22" s="56" t="s">
        <v>230</v>
      </c>
      <c r="E22" s="71" t="s">
        <v>228</v>
      </c>
      <c r="F22" s="71">
        <v>0</v>
      </c>
    </row>
    <row r="23" spans="4:12" x14ac:dyDescent="0.3">
      <c r="D23" s="8" t="s">
        <v>231</v>
      </c>
      <c r="E23" s="62" t="s">
        <v>229</v>
      </c>
      <c r="F23" s="62">
        <v>0</v>
      </c>
    </row>
    <row r="24" spans="4:12" x14ac:dyDescent="0.3">
      <c r="D24" s="8" t="s">
        <v>116</v>
      </c>
      <c r="E24" s="12" t="s">
        <v>235</v>
      </c>
      <c r="F24" s="62">
        <v>0</v>
      </c>
    </row>
    <row r="25" spans="4:12" x14ac:dyDescent="0.3">
      <c r="E25" s="1" t="s">
        <v>258</v>
      </c>
      <c r="F25" s="1">
        <v>0</v>
      </c>
    </row>
  </sheetData>
  <customSheetViews>
    <customSheetView guid="{52C17BD0-9019-43AE-9B1C-4B881AB3FBFD}" state="hidden">
      <selection activeCell="F30" sqref="F30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36D4-4D58-4C96-B805-42013E26C068}">
  <dimension ref="B2:I3"/>
  <sheetViews>
    <sheetView workbookViewId="0">
      <selection activeCell="I3" sqref="I3"/>
    </sheetView>
  </sheetViews>
  <sheetFormatPr defaultRowHeight="14.4" x14ac:dyDescent="0.3"/>
  <cols>
    <col min="2" max="2" width="9.33203125" bestFit="1" customWidth="1"/>
    <col min="4" max="4" width="15.109375" bestFit="1" customWidth="1"/>
    <col min="6" max="6" width="18.5546875" bestFit="1" customWidth="1"/>
    <col min="9" max="9" width="15.109375" bestFit="1" customWidth="1"/>
  </cols>
  <sheetData>
    <row r="2" spans="2:9" x14ac:dyDescent="0.3">
      <c r="B2" s="80" t="s">
        <v>23</v>
      </c>
      <c r="C2" s="80" t="s">
        <v>24</v>
      </c>
      <c r="D2" s="80" t="s">
        <v>247</v>
      </c>
      <c r="E2" s="80"/>
      <c r="F2" s="80" t="s">
        <v>515</v>
      </c>
      <c r="G2" s="80"/>
      <c r="H2" s="80"/>
      <c r="I2" s="80" t="s">
        <v>247</v>
      </c>
    </row>
    <row r="3" spans="2:9" x14ac:dyDescent="0.3">
      <c r="B3" s="80" t="s">
        <v>516</v>
      </c>
      <c r="C3" s="80" t="s">
        <v>517</v>
      </c>
      <c r="D3" s="80" t="s">
        <v>518</v>
      </c>
      <c r="F3" s="80" t="e">
        <f>VLOOKUP(Generator!C32,'DS-Version'!B3:C3,2,FALSE)</f>
        <v>#N/A</v>
      </c>
      <c r="G3" s="80"/>
      <c r="H3" s="80"/>
      <c r="I3" s="80" t="e">
        <f>VLOOKUP(F3,C3:D3,2,FALSE)</f>
        <v>#N/A</v>
      </c>
    </row>
  </sheetData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15"/>
  <sheetViews>
    <sheetView workbookViewId="0">
      <selection activeCell="D4" sqref="D4"/>
    </sheetView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14.6640625" style="1" customWidth="1"/>
    <col min="5" max="5" width="10.5546875" style="1" customWidth="1"/>
    <col min="6" max="6" width="33.33203125" style="1" customWidth="1"/>
    <col min="7" max="16384" width="9.33203125" style="1"/>
  </cols>
  <sheetData>
    <row r="1" spans="1:10" x14ac:dyDescent="0.3">
      <c r="A1" s="3">
        <f>IF(Generator!K10="IP67","No Brake",Generator!L10)</f>
        <v>0</v>
      </c>
      <c r="B1" s="3" t="s">
        <v>20</v>
      </c>
    </row>
    <row r="2" spans="1:10" x14ac:dyDescent="0.3">
      <c r="A2" s="3" t="e">
        <f>IF(A1&lt;&gt;"No Brake",VLOOKUP(A1,D4:F8,2,FALSE),"")</f>
        <v>#N/A</v>
      </c>
      <c r="B2" s="3" t="s">
        <v>21</v>
      </c>
      <c r="I2" s="1">
        <f>'[1]M-Frame'!A1</f>
        <v>0</v>
      </c>
    </row>
    <row r="3" spans="1:10" x14ac:dyDescent="0.3">
      <c r="A3" s="3" t="e">
        <f>IF(A1&lt;&gt;"No Brake",VLOOKUP(A1,D4:F8,3,FALSE),"No Brake")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G3" s="14"/>
      <c r="I3" s="14" t="s">
        <v>83</v>
      </c>
      <c r="J3" s="72">
        <v>605.47500000000002</v>
      </c>
    </row>
    <row r="4" spans="1:10" x14ac:dyDescent="0.3">
      <c r="A4" s="14">
        <v>0</v>
      </c>
      <c r="B4" s="14" t="s">
        <v>199</v>
      </c>
      <c r="D4" s="2" t="str">
        <f>IF(Generator!$K$10="IP65","","No Brake")</f>
        <v>No Brake</v>
      </c>
      <c r="E4" s="2"/>
      <c r="F4" s="2"/>
      <c r="G4" s="14">
        <v>0</v>
      </c>
      <c r="I4" s="14" t="s">
        <v>76</v>
      </c>
      <c r="J4" s="72">
        <v>607.54499999999996</v>
      </c>
    </row>
    <row r="5" spans="1:10" x14ac:dyDescent="0.3">
      <c r="A5" s="14" t="e">
        <f>IF(A1&lt;&gt;"",VLOOKUP(A1,D4:G8,4,FALSE),"")</f>
        <v>#N/A</v>
      </c>
      <c r="B5" s="14" t="s">
        <v>200</v>
      </c>
      <c r="D5" s="2" t="e">
        <f>IF(Generator!K10="IP67","",IF(AND(OR('M-Class'!A2=5,'M-Class'!A2=6),'M-Frame'!A2="SM23"),"Brake",""))</f>
        <v>#N/A</v>
      </c>
      <c r="E5" s="2" t="e">
        <f>IF(AND(OR('M-Class'!A2=5,'M-Class'!A2=6),'M-Frame'!A1&lt;&gt;"NEMA 34"),IF('M-DE'!A1="DE","BRK","-BRK"),"")</f>
        <v>#N/A</v>
      </c>
      <c r="F5" s="2" t="s">
        <v>101</v>
      </c>
      <c r="G5" s="14">
        <v>608</v>
      </c>
      <c r="I5" s="14" t="s">
        <v>77</v>
      </c>
      <c r="J5" s="72">
        <v>950</v>
      </c>
    </row>
    <row r="6" spans="1:10" x14ac:dyDescent="0.3">
      <c r="D6" s="2" t="e">
        <f>IF(AND(EXACT('M-Frame'!A2,"SM34"),'M-Stack'!A2=16,OR(EXACT('M-Series'!A2,"D"),EXACT('M-Series'!A2,"DT"))),"Shunt","")</f>
        <v>#N/A</v>
      </c>
      <c r="E6" s="2" t="e">
        <f>IF(AND(EXACT('M-Frame'!A2,"SM34"),'M-Stack'!A2=16,OR(EXACT('M-Series'!A2,"D"),EXACT('M-Series'!A2,"DT"))),IF('M-DE'!A1="DE","SH","-SH"),"")</f>
        <v>#N/A</v>
      </c>
      <c r="F6" s="2" t="s">
        <v>113</v>
      </c>
      <c r="G6" s="72">
        <v>174.91499999999999</v>
      </c>
    </row>
    <row r="7" spans="1:10" x14ac:dyDescent="0.3">
      <c r="D7" s="2" t="e">
        <f>IF(AND(EXACT('M-Frame'!A2,"SM34"),'M-Stack'!A2=16,OR(EXACT('M-Series'!A2,"D"),EXACT('M-Series'!A2,"DT"))),"Brake and Shunt","")</f>
        <v>#N/A</v>
      </c>
      <c r="E7" s="2" t="e">
        <f>IF(AND(EXACT('M-Frame'!A2,"SM34"),'M-Stack'!A2=16,OR(EXACT('M-Series'!A2,"D"),EXACT('M-Series'!A2,"DT"))),IF('M-DE'!A1="DE","BRKSH","-BRKSH"),"")</f>
        <v>#N/A</v>
      </c>
      <c r="F7" s="2" t="s">
        <v>112</v>
      </c>
      <c r="G7" s="72">
        <v>1124.01</v>
      </c>
    </row>
    <row r="8" spans="1:10" x14ac:dyDescent="0.3">
      <c r="D8" s="67" t="e">
        <f>IF(OR(Generator!K10="IP67",'M-Frame'!A2="SM23",AND(Generator!H10="M-Series high pole count",'M-Class'!A2=6)),"",IF(OR('M-Class'!A2=6,'M-Frame'!A2="SM34"),"Large Brake",""))</f>
        <v>#N/A</v>
      </c>
      <c r="E8" s="73" t="e">
        <f>IF(OR(Generator!C10="NEMA 34",'M-Class'!A2=6),"-BRK","")</f>
        <v>#N/A</v>
      </c>
      <c r="F8" s="67" t="s">
        <v>101</v>
      </c>
      <c r="G8" s="16">
        <v>950</v>
      </c>
    </row>
    <row r="13" spans="1:10" x14ac:dyDescent="0.3">
      <c r="C13" s="74" t="s">
        <v>259</v>
      </c>
      <c r="D13" s="74" t="s">
        <v>260</v>
      </c>
      <c r="E13" s="74" t="s">
        <v>261</v>
      </c>
    </row>
    <row r="14" spans="1:10" x14ac:dyDescent="0.3">
      <c r="C14" s="67" t="s">
        <v>100</v>
      </c>
      <c r="D14" s="67" t="s">
        <v>262</v>
      </c>
      <c r="E14" s="65" t="s">
        <v>100</v>
      </c>
    </row>
    <row r="15" spans="1:10" x14ac:dyDescent="0.3">
      <c r="C15" s="67" t="s">
        <v>262</v>
      </c>
      <c r="D15" s="67"/>
      <c r="E15" s="65"/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22"/>
  <sheetViews>
    <sheetView workbookViewId="0">
      <selection activeCell="E5" sqref="E5"/>
    </sheetView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20.6640625" style="1" customWidth="1"/>
    <col min="5" max="5" width="10.5546875" style="1" customWidth="1"/>
    <col min="6" max="6" width="23.33203125" style="1" customWidth="1"/>
    <col min="7" max="10" width="9.33203125" style="1"/>
    <col min="11" max="11" width="30" style="1" bestFit="1" customWidth="1"/>
    <col min="12" max="16384" width="9.33203125" style="1"/>
  </cols>
  <sheetData>
    <row r="1" spans="1:20" x14ac:dyDescent="0.3">
      <c r="A1" s="3">
        <f>Generator!N10</f>
        <v>0</v>
      </c>
      <c r="B1" s="3" t="s">
        <v>20</v>
      </c>
      <c r="I1" s="1" t="s">
        <v>82</v>
      </c>
    </row>
    <row r="2" spans="1:20" x14ac:dyDescent="0.3">
      <c r="A2" s="3" t="e">
        <f>IF(AND(VLOOKUP(A1,D4:F9,2,FALSE)&lt;&gt;"None",'M-Series'!A2&lt;&gt;"MT"),VLOOKUP(A1,D4:F9,2,FALSE),"")</f>
        <v>#N/A</v>
      </c>
      <c r="B2" s="3" t="s">
        <v>21</v>
      </c>
      <c r="I2" s="1">
        <f>'M-Frame'!A1</f>
        <v>0</v>
      </c>
      <c r="J2" s="1">
        <v>2</v>
      </c>
      <c r="K2" s="1">
        <v>3</v>
      </c>
      <c r="L2" s="1">
        <v>4</v>
      </c>
      <c r="M2" s="1">
        <v>5</v>
      </c>
      <c r="N2" s="1">
        <v>6</v>
      </c>
      <c r="O2" s="1">
        <v>7</v>
      </c>
      <c r="Q2" s="1" t="s">
        <v>201</v>
      </c>
      <c r="T2" s="1" t="s">
        <v>202</v>
      </c>
    </row>
    <row r="3" spans="1:20" x14ac:dyDescent="0.3">
      <c r="A3" s="3" t="e">
        <f>IF(EXACT(A1,"None"),"",VLOOKUP(A1,D4:F9,3,FALSE))</f>
        <v>#N/A</v>
      </c>
      <c r="B3" s="3" t="s">
        <v>22</v>
      </c>
      <c r="D3" s="91" t="s">
        <v>23</v>
      </c>
      <c r="E3" s="91" t="s">
        <v>24</v>
      </c>
      <c r="F3" s="91" t="s">
        <v>25</v>
      </c>
      <c r="G3" s="95"/>
      <c r="I3" s="91" t="s">
        <v>83</v>
      </c>
      <c r="J3" s="91" t="str">
        <f>IF(AND(Generator!C10="NEMA 17",Generator!G10=6),"-C","None")</f>
        <v>None</v>
      </c>
      <c r="K3" s="92" t="str">
        <f>IF(Generator!G10=6,0,IF(AND(Generator!G10=5,Generator!H10="D-Series",Generator!L10="Brake"),0,"-C"))</f>
        <v>-C</v>
      </c>
      <c r="L3" s="92" t="str">
        <f>IF(Generator!G10=6,0,IF(AND(Generator!G10=5,Generator!H10="D-Series",Generator!L10="Brake"),0,"-DN"))</f>
        <v>-DN</v>
      </c>
      <c r="M3" s="91"/>
      <c r="N3" s="91"/>
      <c r="O3" s="93"/>
      <c r="P3" s="95" t="s">
        <v>83</v>
      </c>
      <c r="Q3" s="20">
        <f>IF(Generator!G10=6,0,151)</f>
        <v>151</v>
      </c>
      <c r="S3" s="20" t="s">
        <v>83</v>
      </c>
      <c r="T3" s="14"/>
    </row>
    <row r="4" spans="1:20" x14ac:dyDescent="0.3">
      <c r="A4" s="14" t="e">
        <f>VLOOKUP(A1,D4:G9,4,FALSE)</f>
        <v>#N/A</v>
      </c>
      <c r="B4" s="14" t="s">
        <v>199</v>
      </c>
      <c r="C4" s="1">
        <v>2</v>
      </c>
      <c r="D4" s="91" t="e">
        <f>IF(E4&lt;&gt;0,VLOOKUP(E4,$I$8:$J$17,2,FALSE),"")</f>
        <v>#N/A</v>
      </c>
      <c r="E4" s="92" t="e">
        <f t="shared" ref="E4:E9" si="0">VLOOKUP($I$2,$I$3:$O$5,C4,FALSE)</f>
        <v>#N/A</v>
      </c>
      <c r="F4" s="91" t="e">
        <f>VLOOKUP(E4,$I$8:$K$17,3,FALSE)</f>
        <v>#N/A</v>
      </c>
      <c r="G4" s="95" t="e">
        <f>VLOOKUP(E4,$I$8:$L$17,4,FALSE)</f>
        <v>#N/A</v>
      </c>
      <c r="I4" s="91" t="s">
        <v>76</v>
      </c>
      <c r="J4" s="91" t="e">
        <f>VLOOKUP('M-Class'!A2,'M-Fieldbus'!I19:N20,J2)</f>
        <v>#N/A</v>
      </c>
      <c r="K4" s="91" t="e">
        <f>VLOOKUP('M-Class'!A2,'M-Fieldbus'!I19:N20,K2)</f>
        <v>#N/A</v>
      </c>
      <c r="L4" s="91" t="e">
        <f>VLOOKUP('M-Class'!A2,'M-Fieldbus'!I19:N20,L2)</f>
        <v>#N/A</v>
      </c>
      <c r="M4" s="91" t="e">
        <f>VLOOKUP('M-Class'!A2,'M-Fieldbus'!I19:N20,M2)</f>
        <v>#N/A</v>
      </c>
      <c r="N4" s="91" t="e">
        <f>VLOOKUP('M-Class'!A2,'M-Fieldbus'!I19:N20,N2)</f>
        <v>#N/A</v>
      </c>
      <c r="O4" s="91" t="e">
        <f>VLOOKUP('M-Class'!A2,'M-Fieldbus'!I19:O20,O2)</f>
        <v>#N/A</v>
      </c>
      <c r="P4" s="95" t="s">
        <v>76</v>
      </c>
      <c r="Q4" s="20" t="e">
        <f>IF('M-Series'!A2="MT","0","146")</f>
        <v>#N/A</v>
      </c>
      <c r="S4" s="20" t="s">
        <v>76</v>
      </c>
      <c r="T4" s="14">
        <v>174</v>
      </c>
    </row>
    <row r="5" spans="1:20" x14ac:dyDescent="0.3">
      <c r="A5" s="14">
        <v>0</v>
      </c>
      <c r="B5" s="14" t="s">
        <v>200</v>
      </c>
      <c r="C5" s="1">
        <v>3</v>
      </c>
      <c r="D5" s="91" t="e">
        <f t="shared" ref="D5:D9" si="1">IF(E5&lt;&gt;0,VLOOKUP(E5,$I$8:$J$17,2,FALSE),"")</f>
        <v>#N/A</v>
      </c>
      <c r="E5" s="92" t="e">
        <f t="shared" si="0"/>
        <v>#N/A</v>
      </c>
      <c r="F5" s="91" t="e">
        <f t="shared" ref="F5:F9" si="2">VLOOKUP(E5,$I$8:$K$17,3,FALSE)</f>
        <v>#N/A</v>
      </c>
      <c r="G5" s="95" t="e">
        <f>VLOOKUP(E5,$I$8:$L$17,4,FALSE)</f>
        <v>#N/A</v>
      </c>
      <c r="I5" s="91" t="s">
        <v>77</v>
      </c>
      <c r="J5" s="91" t="e">
        <f>VLOOKUP('M-Class'!$A$2,'M-Fieldbus'!$I$19:$N$20,J2)</f>
        <v>#N/A</v>
      </c>
      <c r="K5" s="91" t="e">
        <f>VLOOKUP('M-Class'!$A$2,'M-Fieldbus'!$I$19:$N$20,K2)</f>
        <v>#N/A</v>
      </c>
      <c r="L5" s="91" t="e">
        <f>VLOOKUP('M-Class'!$A$2,'M-Fieldbus'!$I$19:$N$20,L2)</f>
        <v>#N/A</v>
      </c>
      <c r="M5" s="91" t="e">
        <f>VLOOKUP('M-Class'!$A$2,'M-Fieldbus'!$I$19:$N$20,M2)</f>
        <v>#N/A</v>
      </c>
      <c r="N5" s="91" t="e">
        <f>VLOOKUP('M-Class'!$A$2,'M-Fieldbus'!$I$19:$N$20,N2)</f>
        <v>#N/A</v>
      </c>
      <c r="O5" s="93" t="e">
        <f>VLOOKUP('M-Class'!$A$2,'M-Fieldbus'!$I$19:$O$20,O2)</f>
        <v>#N/A</v>
      </c>
      <c r="P5" s="95" t="s">
        <v>77</v>
      </c>
      <c r="Q5" s="20" t="e">
        <f>IF('M-Series'!A2="MT","0","276")</f>
        <v>#N/A</v>
      </c>
      <c r="S5" s="20" t="s">
        <v>77</v>
      </c>
      <c r="T5" s="14">
        <v>308</v>
      </c>
    </row>
    <row r="6" spans="1:20" x14ac:dyDescent="0.3">
      <c r="C6" s="1">
        <v>4</v>
      </c>
      <c r="D6" s="91" t="e">
        <f t="shared" si="1"/>
        <v>#N/A</v>
      </c>
      <c r="E6" s="92" t="e">
        <f t="shared" si="0"/>
        <v>#N/A</v>
      </c>
      <c r="F6" s="91" t="e">
        <f t="shared" si="2"/>
        <v>#N/A</v>
      </c>
      <c r="G6" s="95" t="e">
        <f t="shared" ref="G6:G9" si="3">VLOOKUP(E6,$I$8:$L$17,4,FALSE)</f>
        <v>#N/A</v>
      </c>
      <c r="I6" s="91"/>
      <c r="J6" s="91"/>
      <c r="K6" s="91"/>
      <c r="L6" s="91"/>
      <c r="M6" s="91"/>
      <c r="N6" s="91"/>
      <c r="O6" s="93"/>
      <c r="P6" s="95"/>
      <c r="Q6" s="14"/>
      <c r="S6" s="14"/>
      <c r="T6" s="14"/>
    </row>
    <row r="7" spans="1:20" x14ac:dyDescent="0.3">
      <c r="C7" s="1">
        <v>5</v>
      </c>
      <c r="D7" s="91" t="e">
        <f t="shared" si="1"/>
        <v>#N/A</v>
      </c>
      <c r="E7" s="92" t="e">
        <f t="shared" si="0"/>
        <v>#N/A</v>
      </c>
      <c r="F7" s="91" t="e">
        <f t="shared" si="2"/>
        <v>#N/A</v>
      </c>
      <c r="G7" s="95" t="e">
        <f t="shared" si="3"/>
        <v>#N/A</v>
      </c>
    </row>
    <row r="8" spans="1:20" x14ac:dyDescent="0.3">
      <c r="C8" s="1">
        <v>6</v>
      </c>
      <c r="D8" s="91" t="e">
        <f t="shared" si="1"/>
        <v>#N/A</v>
      </c>
      <c r="E8" s="92" t="e">
        <f t="shared" si="0"/>
        <v>#N/A</v>
      </c>
      <c r="F8" s="91" t="e">
        <f t="shared" si="2"/>
        <v>#N/A</v>
      </c>
      <c r="G8" s="95" t="e">
        <f t="shared" si="3"/>
        <v>#N/A</v>
      </c>
      <c r="I8" s="91" t="s">
        <v>116</v>
      </c>
      <c r="J8" s="91" t="s">
        <v>116</v>
      </c>
      <c r="K8" s="91"/>
      <c r="L8" s="95">
        <v>0</v>
      </c>
    </row>
    <row r="9" spans="1:20" x14ac:dyDescent="0.3">
      <c r="C9" s="1">
        <v>7</v>
      </c>
      <c r="D9" s="93" t="e">
        <f t="shared" si="1"/>
        <v>#N/A</v>
      </c>
      <c r="E9" s="93" t="e">
        <f t="shared" si="0"/>
        <v>#N/A</v>
      </c>
      <c r="F9" s="93" t="e">
        <f t="shared" si="2"/>
        <v>#N/A</v>
      </c>
      <c r="G9" s="95" t="e">
        <f t="shared" si="3"/>
        <v>#N/A</v>
      </c>
      <c r="I9" s="92" t="s">
        <v>104</v>
      </c>
      <c r="J9" s="91" t="s">
        <v>108</v>
      </c>
      <c r="K9" s="91" t="str">
        <f t="shared" ref="K9:K16" si="4">J9</f>
        <v>CANopen</v>
      </c>
      <c r="L9" s="95" t="e">
        <f>VLOOKUP(I2,P3:Q5,2,FALSE)</f>
        <v>#N/A</v>
      </c>
    </row>
    <row r="10" spans="1:20" x14ac:dyDescent="0.3">
      <c r="I10" s="92" t="s">
        <v>105</v>
      </c>
      <c r="J10" s="91" t="s">
        <v>109</v>
      </c>
      <c r="K10" s="91" t="str">
        <f t="shared" si="4"/>
        <v>CANopen over D-sub</v>
      </c>
      <c r="L10" s="95">
        <v>61</v>
      </c>
    </row>
    <row r="11" spans="1:20" x14ac:dyDescent="0.3">
      <c r="I11" s="92" t="s">
        <v>106</v>
      </c>
      <c r="J11" s="91" t="s">
        <v>110</v>
      </c>
      <c r="K11" s="91" t="str">
        <f t="shared" si="4"/>
        <v>DeviceNet</v>
      </c>
      <c r="L11" s="95" t="e">
        <f>VLOOKUP(I2,P3:Q5,2,FALSE)</f>
        <v>#N/A</v>
      </c>
    </row>
    <row r="12" spans="1:20" x14ac:dyDescent="0.3">
      <c r="I12" s="92" t="s">
        <v>107</v>
      </c>
      <c r="J12" s="91" t="s">
        <v>111</v>
      </c>
      <c r="K12" s="91" t="str">
        <f t="shared" si="4"/>
        <v>PROFIBUS</v>
      </c>
      <c r="L12" s="95" t="e">
        <f>VLOOKUP(I2,S3:T5,2,FALSE)</f>
        <v>#N/A</v>
      </c>
    </row>
    <row r="13" spans="1:20" x14ac:dyDescent="0.3">
      <c r="I13" s="92" t="s">
        <v>117</v>
      </c>
      <c r="J13" s="91" t="s">
        <v>114</v>
      </c>
      <c r="K13" s="91" t="str">
        <f t="shared" si="4"/>
        <v>EtherCAT</v>
      </c>
      <c r="L13" s="95">
        <v>0</v>
      </c>
    </row>
    <row r="14" spans="1:20" x14ac:dyDescent="0.3">
      <c r="I14" s="92" t="s">
        <v>118</v>
      </c>
      <c r="J14" s="91" t="s">
        <v>115</v>
      </c>
      <c r="K14" s="91" t="str">
        <f t="shared" si="4"/>
        <v>PROFINET</v>
      </c>
      <c r="L14" s="95">
        <v>0</v>
      </c>
    </row>
    <row r="15" spans="1:20" x14ac:dyDescent="0.3">
      <c r="I15" s="92" t="s">
        <v>233</v>
      </c>
      <c r="J15" s="91" t="s">
        <v>234</v>
      </c>
      <c r="K15" s="91" t="str">
        <f t="shared" si="4"/>
        <v>EtherNet/IP</v>
      </c>
      <c r="L15" s="95">
        <v>0</v>
      </c>
    </row>
    <row r="16" spans="1:20" x14ac:dyDescent="0.3">
      <c r="I16" s="92" t="s">
        <v>263</v>
      </c>
      <c r="J16" s="91" t="s">
        <v>264</v>
      </c>
      <c r="K16" s="91" t="str">
        <f t="shared" si="4"/>
        <v>CANopen on 7W2 &amp; 15 pin D sub</v>
      </c>
      <c r="L16" s="95">
        <v>61</v>
      </c>
    </row>
    <row r="17" spans="9:15" x14ac:dyDescent="0.3">
      <c r="I17" s="92">
        <v>0</v>
      </c>
      <c r="J17" s="92" t="s">
        <v>138</v>
      </c>
      <c r="K17" s="92" t="s">
        <v>138</v>
      </c>
      <c r="L17" s="95">
        <v>0</v>
      </c>
    </row>
    <row r="18" spans="9:15" x14ac:dyDescent="0.3">
      <c r="I18" s="75"/>
      <c r="J18" s="76"/>
      <c r="K18" s="76"/>
    </row>
    <row r="19" spans="9:15" x14ac:dyDescent="0.3">
      <c r="I19" s="91">
        <v>5</v>
      </c>
      <c r="J19" s="91" t="e">
        <f>IF('M-Series'!A2="MT","-C","None")</f>
        <v>#N/A</v>
      </c>
      <c r="K19" s="92" t="e">
        <f>IF('M-Series'!A2="MT","-DN",IF(AND('M-Stack'!A2=16,'M-BRK'!A1="Brake"),0,"-C"))</f>
        <v>#N/A</v>
      </c>
      <c r="L19" s="92" t="e">
        <f>IF(OR('M-Series'!A2="MT",NOT('M-Stack'!A2=16)),0,"-CDS")</f>
        <v>#N/A</v>
      </c>
      <c r="M19" s="91" t="e">
        <f>IF(OR('M-Series'!A2="MT",AND('M-Stack'!A2=16,'M-BRK'!A1="Brake")),0,"-DN")</f>
        <v>#N/A</v>
      </c>
      <c r="N19" s="91" t="e">
        <f>IF(AND('M-Stack'!A2=16,NOT(OR(EXACT('M-Series'!A2,"MT"),EXACT('M-BRK'!A1,"Brake"),EXACT('M-BRK'!A1,"Shunt"),EXACT('M-BRK'!A1,"Brake and Shunt")))),"-PB",0)</f>
        <v>#N/A</v>
      </c>
      <c r="O19" s="93" t="e">
        <f>IF(OR('M-Series'!A2="MT",NOT('M-Stack'!A2=16)),0,"-CDS7")</f>
        <v>#N/A</v>
      </c>
    </row>
    <row r="20" spans="9:15" x14ac:dyDescent="0.3">
      <c r="I20" s="91">
        <v>6</v>
      </c>
      <c r="J20" s="94" t="s">
        <v>116</v>
      </c>
      <c r="K20" s="92" t="s">
        <v>117</v>
      </c>
      <c r="L20" s="92" t="s">
        <v>118</v>
      </c>
      <c r="M20" s="92" t="s">
        <v>233</v>
      </c>
      <c r="N20" s="91"/>
      <c r="O20" s="93"/>
    </row>
    <row r="21" spans="9:15" x14ac:dyDescent="0.3">
      <c r="I21" s="2"/>
      <c r="J21" s="2"/>
      <c r="K21" s="8"/>
      <c r="L21" s="8"/>
      <c r="M21" s="8"/>
      <c r="N21" s="8"/>
      <c r="O21" s="65"/>
    </row>
    <row r="22" spans="9:15" x14ac:dyDescent="0.3">
      <c r="I22" s="2"/>
      <c r="J22" s="2"/>
      <c r="K22" s="2"/>
      <c r="L22" s="2"/>
      <c r="M22" s="2"/>
      <c r="N22" s="2"/>
      <c r="O22" s="65"/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9"/>
  <sheetViews>
    <sheetView workbookViewId="0">
      <selection activeCell="D6" sqref="D6"/>
    </sheetView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21.5546875" style="1" customWidth="1"/>
    <col min="5" max="5" width="10.5546875" style="1" customWidth="1"/>
    <col min="6" max="6" width="48.5546875" style="1" customWidth="1"/>
    <col min="7" max="9" width="9.33203125" style="1"/>
    <col min="10" max="10" width="29.6640625" style="1" bestFit="1" customWidth="1"/>
    <col min="11" max="16384" width="9.33203125" style="1"/>
  </cols>
  <sheetData>
    <row r="1" spans="1:12" x14ac:dyDescent="0.3">
      <c r="A1" s="3">
        <f>Generator!O10</f>
        <v>0</v>
      </c>
      <c r="B1" s="3" t="s">
        <v>20</v>
      </c>
    </row>
    <row r="2" spans="1:12" x14ac:dyDescent="0.3">
      <c r="A2" s="3" t="e">
        <f>IF(AND(A1&lt;&gt;"None",Generator!G10&lt;&gt;6),VLOOKUP(A1,D4:F9,2,FALSE),"")</f>
        <v>#N/A</v>
      </c>
      <c r="B2" s="3" t="s">
        <v>21</v>
      </c>
      <c r="J2" s="1">
        <f>'M-Frame'!A1</f>
        <v>0</v>
      </c>
      <c r="L2" s="1" t="s">
        <v>204</v>
      </c>
    </row>
    <row r="3" spans="1:12" x14ac:dyDescent="0.3">
      <c r="A3" s="3" t="e">
        <f>IF(AND(A1&lt;&gt;"None",Generator!G10&lt;&gt;6),VLOOKUP(A1,D4:F9,3,FALSE),"")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G3" s="14" t="s">
        <v>203</v>
      </c>
      <c r="H3" s="14" t="s">
        <v>23</v>
      </c>
      <c r="J3" s="20" t="s">
        <v>83</v>
      </c>
      <c r="K3" s="20">
        <v>151</v>
      </c>
      <c r="L3" s="14">
        <f>227-151</f>
        <v>76</v>
      </c>
    </row>
    <row r="4" spans="1:12" x14ac:dyDescent="0.3">
      <c r="A4" s="14" t="e">
        <f>IF(AND(VLOOKUP(A1,D4:H9,4,FALSE)=1,Generator!G10&lt;&gt;6),VLOOKUP(A1,D4:H9,5,FALSE),0)</f>
        <v>#N/A</v>
      </c>
      <c r="B4" s="14" t="s">
        <v>199</v>
      </c>
      <c r="D4" s="2" t="s">
        <v>116</v>
      </c>
      <c r="E4" s="2"/>
      <c r="F4" s="2"/>
      <c r="G4" s="20"/>
      <c r="H4" s="14"/>
      <c r="J4" s="20" t="s">
        <v>76</v>
      </c>
      <c r="K4" s="20">
        <v>151</v>
      </c>
      <c r="L4" s="14">
        <v>76</v>
      </c>
    </row>
    <row r="5" spans="1:12" x14ac:dyDescent="0.3">
      <c r="A5" s="14" t="e">
        <f>IF(AND(VLOOKUP(A1,D4:H9,4,FALSE)=2,Generator!G10&lt;&gt;6),VLOOKUP(A1,D4:H9,5,FALSE),0)</f>
        <v>#N/A</v>
      </c>
      <c r="B5" s="14" t="s">
        <v>200</v>
      </c>
      <c r="D5" s="2" t="e">
        <f>IF(AND('M-Class'!A2=5,NOT('M-Series'!A2="MT"),NOT('M-Fieldbus'!A2="-PB"),NOT(AND('M-Stack'!A2=16,'M-BRK'!A1="Brake",'M-Frame'!A2="SM23")),NOT(AND(Generator!C10="NEMA 17",Generator!G10=5,Generator!L10="Brake"))),"24V Expanded IO","")</f>
        <v>#N/A</v>
      </c>
      <c r="E5" s="2" t="e">
        <f>IF(AND('M-Class'!A2=5,NOT('M-Series'!A2="MT"),NOT('M-Fieldbus'!A2="-PB"),NOT(AND('M-Stack'!A2=16,'M-BRK'!A1="Brake",'M-Frame'!A2="SM23"))),"-AD1",1/0)</f>
        <v>#N/A</v>
      </c>
      <c r="F5" s="2" t="s">
        <v>119</v>
      </c>
      <c r="G5" s="20">
        <v>1</v>
      </c>
      <c r="H5" s="14">
        <v>151</v>
      </c>
      <c r="J5" s="20" t="s">
        <v>77</v>
      </c>
      <c r="K5" s="20">
        <v>308</v>
      </c>
      <c r="L5" s="14">
        <v>103</v>
      </c>
    </row>
    <row r="6" spans="1:12" x14ac:dyDescent="0.3">
      <c r="D6" s="2" t="e">
        <f>IF(AND('M-Series'!A2="MT",NOT(OR('M-Class'!A2=6))),"Absolute Encoder","")</f>
        <v>#N/A</v>
      </c>
      <c r="E6" s="2" t="e">
        <f>IF(AND('M-Series'!A2="MT",NOT(OR('M-Class'!A2=6))),"-FB01","")</f>
        <v>#N/A</v>
      </c>
      <c r="F6" s="2" t="s">
        <v>139</v>
      </c>
      <c r="G6" s="20">
        <v>2</v>
      </c>
      <c r="H6" s="14">
        <v>186</v>
      </c>
      <c r="J6" s="20"/>
      <c r="K6" s="20"/>
      <c r="L6" s="14"/>
    </row>
    <row r="7" spans="1:12" x14ac:dyDescent="0.3">
      <c r="D7" s="2" t="e">
        <f>IF(AND('M-Series'!A2="MT",NOT(OR('M-Class'!A2=6))),"Absolute Enc. 1M kit","")</f>
        <v>#N/A</v>
      </c>
      <c r="E7" s="2" t="e">
        <f>IF(AND('M-Series'!A2="MT",NOT(OR('M-Class'!A2=6))),"-KFB01-01","")</f>
        <v>#N/A</v>
      </c>
      <c r="F7" s="2" t="s">
        <v>140</v>
      </c>
      <c r="G7" s="20">
        <v>2</v>
      </c>
      <c r="H7" s="14">
        <v>631</v>
      </c>
    </row>
    <row r="8" spans="1:12" x14ac:dyDescent="0.3">
      <c r="D8" s="2" t="e">
        <f>IF(AND('M-Series'!A2="MT",NOT(OR('M-Class'!A2=6))),"Absolute Enc. 2M kit","")</f>
        <v>#N/A</v>
      </c>
      <c r="E8" s="2" t="e">
        <f>IF(AND('M-Series'!A2="MT",NOT(OR('M-Class'!A2=6))),"-KFB01-02","")</f>
        <v>#N/A</v>
      </c>
      <c r="F8" s="2" t="s">
        <v>141</v>
      </c>
      <c r="G8" s="20">
        <v>2</v>
      </c>
      <c r="H8" s="14">
        <v>634</v>
      </c>
      <c r="J8" s="1" t="s">
        <v>205</v>
      </c>
    </row>
    <row r="9" spans="1:12" x14ac:dyDescent="0.3">
      <c r="D9" s="2" t="e">
        <f>IF(AND('M-Series'!A2="MT",NOT(OR('M-Class'!A2=6))),"Absolute Enc. 3M kit","")</f>
        <v>#N/A</v>
      </c>
      <c r="E9" s="2" t="e">
        <f>IF(AND('M-Series'!A2="MT",NOT(OR('M-Class'!A2=6))),"-KFB01-03","")</f>
        <v>#N/A</v>
      </c>
      <c r="F9" s="2" t="s">
        <v>142</v>
      </c>
      <c r="G9" s="20">
        <v>2</v>
      </c>
      <c r="H9" s="14">
        <v>638</v>
      </c>
      <c r="J9" s="1">
        <f>IF(OR('M-Fieldbus'!A1="DeviceNet",'M-Fieldbus'!A1="CANopen"),3,2)</f>
        <v>2</v>
      </c>
    </row>
  </sheetData>
  <customSheetViews>
    <customSheetView guid="{52C17BD0-9019-43AE-9B1C-4B881AB3FBFD}" state="hidden">
      <selection activeCell="B18" sqref="B18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6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51.5546875" style="1" customWidth="1"/>
    <col min="7" max="16384" width="9.33203125" style="1"/>
  </cols>
  <sheetData>
    <row r="1" spans="1:6" x14ac:dyDescent="0.3">
      <c r="A1" s="3">
        <f>Generator!C20</f>
        <v>0</v>
      </c>
      <c r="B1" s="3" t="s">
        <v>20</v>
      </c>
    </row>
    <row r="2" spans="1:6" x14ac:dyDescent="0.3">
      <c r="A2" s="3" t="e">
        <f>VLOOKUP(A1,D4:F6,2,FALSE)</f>
        <v>#N/A</v>
      </c>
      <c r="B2" s="3" t="s">
        <v>21</v>
      </c>
    </row>
    <row r="3" spans="1:6" x14ac:dyDescent="0.3">
      <c r="A3" s="3" t="e">
        <f>VLOOKUP(A1,D4:F6,3,FALSE)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A4" s="14">
        <v>0</v>
      </c>
      <c r="B4" s="14" t="s">
        <v>199</v>
      </c>
      <c r="D4" s="2" t="s">
        <v>83</v>
      </c>
      <c r="E4" s="2" t="s">
        <v>127</v>
      </c>
      <c r="F4" s="2" t="str">
        <f>CONCATENATE(D4," Gearhead")</f>
        <v>NEMA 17 Gearhead</v>
      </c>
    </row>
    <row r="5" spans="1:6" x14ac:dyDescent="0.3">
      <c r="A5" s="14">
        <v>0</v>
      </c>
      <c r="B5" s="14" t="s">
        <v>200</v>
      </c>
      <c r="D5" s="2" t="s">
        <v>76</v>
      </c>
      <c r="E5" s="2" t="s">
        <v>128</v>
      </c>
      <c r="F5" s="2" t="str">
        <f>CONCATENATE(D5," Gearhead")</f>
        <v>NEMA 23 Gearhead</v>
      </c>
    </row>
    <row r="6" spans="1:6" x14ac:dyDescent="0.3">
      <c r="D6" s="2" t="s">
        <v>77</v>
      </c>
      <c r="E6" s="2" t="s">
        <v>129</v>
      </c>
      <c r="F6" s="2" t="str">
        <f>CONCATENATE(D6," Gearhead")</f>
        <v>NEMA 34 Gearhead</v>
      </c>
    </row>
  </sheetData>
  <customSheetViews>
    <customSheetView guid="{52C17BD0-9019-43AE-9B1C-4B881AB3FBFD}" state="hidden">
      <selection activeCell="B5" sqref="A4:B5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10"/>
  <sheetViews>
    <sheetView workbookViewId="0"/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7" width="16.44140625" style="1" bestFit="1" customWidth="1"/>
    <col min="8" max="16384" width="9.33203125" style="1"/>
  </cols>
  <sheetData>
    <row r="1" spans="1:17" x14ac:dyDescent="0.3">
      <c r="A1" s="3">
        <f>Generator!E20</f>
        <v>0</v>
      </c>
      <c r="B1" s="3" t="s">
        <v>20</v>
      </c>
      <c r="I1" s="1" t="s">
        <v>82</v>
      </c>
    </row>
    <row r="2" spans="1:17" x14ac:dyDescent="0.3">
      <c r="A2" s="3" t="e">
        <f>VLOOKUP(A1,D4:F6,2,FALSE)</f>
        <v>#N/A</v>
      </c>
      <c r="B2" s="3" t="s">
        <v>21</v>
      </c>
      <c r="I2" s="1">
        <f>'G-Frame'!A1</f>
        <v>0</v>
      </c>
    </row>
    <row r="3" spans="1:17" x14ac:dyDescent="0.3">
      <c r="A3" s="3" t="e">
        <f>VLOOKUP(A1,D4:F6,3,FALSE)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G3" s="21"/>
      <c r="I3" s="4" t="s">
        <v>83</v>
      </c>
      <c r="J3" s="4" t="s">
        <v>122</v>
      </c>
      <c r="K3" s="4" t="s">
        <v>123</v>
      </c>
      <c r="L3" s="4" t="s">
        <v>124</v>
      </c>
      <c r="N3" s="15" t="s">
        <v>83</v>
      </c>
      <c r="O3" s="15">
        <v>480</v>
      </c>
      <c r="P3" s="15">
        <v>369</v>
      </c>
      <c r="Q3" s="15">
        <v>1246</v>
      </c>
    </row>
    <row r="4" spans="1:17" x14ac:dyDescent="0.3">
      <c r="A4" s="14">
        <v>0</v>
      </c>
      <c r="B4" s="14" t="s">
        <v>199</v>
      </c>
      <c r="C4" s="1">
        <v>2</v>
      </c>
      <c r="D4" s="2" t="e">
        <f>CONCATENATE(F4," - ",E4)</f>
        <v>#N/A</v>
      </c>
      <c r="E4" s="2" t="e">
        <f>VLOOKUP($I$2,$I$3:$L$6,C4,FALSE)</f>
        <v>#N/A</v>
      </c>
      <c r="F4" s="2" t="e">
        <f>VLOOKUP(E4,$I$8:$J$10,2,FALSE)</f>
        <v>#N/A</v>
      </c>
      <c r="G4" s="20" t="e">
        <f>VLOOKUP($I$2,$N$3:$Q$6,C4,FALSE)</f>
        <v>#N/A</v>
      </c>
      <c r="I4" s="4" t="s">
        <v>76</v>
      </c>
      <c r="J4" s="4" t="s">
        <v>122</v>
      </c>
      <c r="K4" s="4" t="s">
        <v>123</v>
      </c>
      <c r="L4" s="4" t="s">
        <v>124</v>
      </c>
      <c r="N4" s="15" t="s">
        <v>76</v>
      </c>
      <c r="O4" s="15">
        <v>564</v>
      </c>
      <c r="P4" s="15">
        <v>420</v>
      </c>
      <c r="Q4" s="15">
        <v>1564</v>
      </c>
    </row>
    <row r="5" spans="1:17" x14ac:dyDescent="0.3">
      <c r="A5" s="14" t="e">
        <f>VLOOKUP(A1,D4:G6,4,FALSE)</f>
        <v>#N/A</v>
      </c>
      <c r="B5" s="14" t="s">
        <v>200</v>
      </c>
      <c r="C5" s="1">
        <v>3</v>
      </c>
      <c r="D5" s="2" t="e">
        <f>IF(E5&lt;&gt;0,CONCATENATE(F5," - ",E5),"")</f>
        <v>#N/A</v>
      </c>
      <c r="E5" s="2" t="e">
        <f>VLOOKUP($I$2,$I$3:$L$6,C5,FALSE)</f>
        <v>#N/A</v>
      </c>
      <c r="F5" s="2" t="e">
        <f>VLOOKUP(E5,$I$8:$J$10,2,FALSE)</f>
        <v>#N/A</v>
      </c>
      <c r="G5" s="20" t="e">
        <f t="shared" ref="G5:G6" si="0">VLOOKUP($I$2,$N$3:$Q$6,C5,FALSE)</f>
        <v>#N/A</v>
      </c>
      <c r="I5" s="4" t="s">
        <v>77</v>
      </c>
      <c r="J5" s="4" t="s">
        <v>122</v>
      </c>
      <c r="K5" s="4" t="s">
        <v>123</v>
      </c>
      <c r="L5" s="4" t="s">
        <v>124</v>
      </c>
      <c r="N5" s="15" t="s">
        <v>77</v>
      </c>
      <c r="O5" s="15">
        <v>942</v>
      </c>
      <c r="P5" s="15">
        <v>570</v>
      </c>
      <c r="Q5" s="15">
        <v>2183</v>
      </c>
    </row>
    <row r="6" spans="1:17" x14ac:dyDescent="0.3">
      <c r="C6" s="1">
        <v>4</v>
      </c>
      <c r="D6" s="2" t="e">
        <f t="shared" ref="D6" si="1">IF(E6&lt;&gt;0,CONCATENATE(F6," - ",E6),"")</f>
        <v>#N/A</v>
      </c>
      <c r="E6" s="2" t="e">
        <f>VLOOKUP($I$2,$I$3:$L$6,C6,FALSE)</f>
        <v>#N/A</v>
      </c>
      <c r="F6" s="2" t="e">
        <f>VLOOKUP(E6,$I$8:$J$10,2,FALSE)</f>
        <v>#N/A</v>
      </c>
      <c r="G6" s="20" t="e">
        <f t="shared" si="0"/>
        <v>#N/A</v>
      </c>
      <c r="I6" s="4"/>
      <c r="J6" s="4"/>
      <c r="K6" s="4"/>
      <c r="L6" s="4"/>
      <c r="N6" s="15"/>
      <c r="O6" s="15"/>
      <c r="P6" s="15"/>
      <c r="Q6" s="15"/>
    </row>
    <row r="8" spans="1:17" x14ac:dyDescent="0.3">
      <c r="I8" s="2" t="s">
        <v>122</v>
      </c>
      <c r="J8" s="2" t="s">
        <v>125</v>
      </c>
    </row>
    <row r="9" spans="1:17" x14ac:dyDescent="0.3">
      <c r="I9" s="2" t="s">
        <v>123</v>
      </c>
      <c r="J9" s="2" t="s">
        <v>80</v>
      </c>
    </row>
    <row r="10" spans="1:17" x14ac:dyDescent="0.3">
      <c r="I10" s="2" t="s">
        <v>124</v>
      </c>
      <c r="J10" s="6" t="s">
        <v>126</v>
      </c>
    </row>
  </sheetData>
  <customSheetViews>
    <customSheetView guid="{52C17BD0-9019-43AE-9B1C-4B881AB3FBFD}" state="hidden">
      <selection activeCell="A5" sqref="A4:B5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A16"/>
  <sheetViews>
    <sheetView workbookViewId="0"/>
  </sheetViews>
  <sheetFormatPr defaultColWidth="9.33203125" defaultRowHeight="14.4" x14ac:dyDescent="0.3"/>
  <cols>
    <col min="1" max="1" width="19" style="1" customWidth="1"/>
    <col min="2" max="3" width="9.33203125" style="1"/>
    <col min="4" max="4" width="7.5546875" style="1" customWidth="1"/>
    <col min="5" max="5" width="11.33203125" style="1" customWidth="1"/>
    <col min="6" max="6" width="21" style="1" customWidth="1"/>
    <col min="7" max="16384" width="9.33203125" style="1"/>
  </cols>
  <sheetData>
    <row r="1" spans="1:27" x14ac:dyDescent="0.3">
      <c r="A1" s="3">
        <f>Generator!G20</f>
        <v>0</v>
      </c>
      <c r="B1" s="3" t="s">
        <v>20</v>
      </c>
      <c r="I1" s="1" t="s">
        <v>33</v>
      </c>
      <c r="X1" s="1" t="s">
        <v>82</v>
      </c>
    </row>
    <row r="2" spans="1:27" x14ac:dyDescent="0.3">
      <c r="A2" s="3" t="e">
        <f>IF(I2="SP",TEXT(VLOOKUP(A1,D4:F16,2,FALSE),"000"),VLOOKUP(A1,D4:F16,2,FALSE))</f>
        <v>#N/A</v>
      </c>
      <c r="B2" s="3" t="s">
        <v>21</v>
      </c>
      <c r="I2" s="1" t="e">
        <f>'G-Type'!A2</f>
        <v>#N/A</v>
      </c>
      <c r="X2" s="1">
        <f>'G-Frame'!A1</f>
        <v>0</v>
      </c>
      <c r="Z2" s="16" t="e">
        <f>VLOOKUP(X8,X9:Y11,2)</f>
        <v>#N/A</v>
      </c>
    </row>
    <row r="3" spans="1:27" x14ac:dyDescent="0.3">
      <c r="A3" s="3" t="e">
        <f>VLOOKUP(A1,D4:F16,3,FALSE)</f>
        <v>#N/A</v>
      </c>
      <c r="B3" s="3" t="s">
        <v>22</v>
      </c>
      <c r="D3" s="2" t="s">
        <v>23</v>
      </c>
      <c r="E3" s="3" t="s">
        <v>24</v>
      </c>
      <c r="F3" s="3" t="s">
        <v>25</v>
      </c>
      <c r="I3" s="2" t="s">
        <v>122</v>
      </c>
      <c r="J3" s="2">
        <v>3</v>
      </c>
      <c r="K3" s="2">
        <v>4</v>
      </c>
      <c r="L3" s="2">
        <v>5.5</v>
      </c>
      <c r="M3" s="2">
        <v>7</v>
      </c>
      <c r="N3" s="2">
        <v>10</v>
      </c>
      <c r="O3" s="2">
        <v>16</v>
      </c>
      <c r="P3" s="2">
        <v>22</v>
      </c>
      <c r="Q3" s="2">
        <v>28</v>
      </c>
      <c r="R3" s="2">
        <v>40</v>
      </c>
      <c r="S3" s="2">
        <v>49</v>
      </c>
      <c r="T3" s="2">
        <v>55</v>
      </c>
      <c r="U3" s="2">
        <v>70</v>
      </c>
      <c r="V3" s="2">
        <v>100</v>
      </c>
      <c r="X3" s="15" t="s">
        <v>83</v>
      </c>
      <c r="Y3" s="15">
        <f>630-480</f>
        <v>150</v>
      </c>
      <c r="Z3" s="15">
        <f>461-369</f>
        <v>92</v>
      </c>
      <c r="AA3" s="15">
        <f>1508-1246</f>
        <v>262</v>
      </c>
    </row>
    <row r="4" spans="1:27" x14ac:dyDescent="0.3">
      <c r="A4" s="14"/>
      <c r="B4" s="14" t="s">
        <v>199</v>
      </c>
      <c r="C4" s="1">
        <v>2</v>
      </c>
      <c r="D4" s="2" t="e">
        <f>IF(E4&lt;&gt;0,CONCATENATE(E4,":1"),"")</f>
        <v>#N/A</v>
      </c>
      <c r="E4" s="2" t="e">
        <f t="shared" ref="E4:E16" si="0">VLOOKUP($I$2,$I$3:$V$6,$C4,FALSE)</f>
        <v>#N/A</v>
      </c>
      <c r="F4" s="2" t="e">
        <f>IF(D4&lt;&gt;0,CONCATENATE("Ratio ",D4))</f>
        <v>#N/A</v>
      </c>
      <c r="G4" s="20" t="e">
        <f>IF(E4&gt;=16,$Z$2,0)</f>
        <v>#N/A</v>
      </c>
      <c r="I4" s="2" t="s">
        <v>123</v>
      </c>
      <c r="J4" s="5">
        <v>4</v>
      </c>
      <c r="K4" s="5">
        <v>7</v>
      </c>
      <c r="L4" s="5">
        <v>10</v>
      </c>
      <c r="M4" s="5">
        <v>16</v>
      </c>
      <c r="N4" s="5">
        <v>28</v>
      </c>
      <c r="O4" s="5">
        <v>49</v>
      </c>
      <c r="P4" s="5">
        <v>70</v>
      </c>
      <c r="Q4" s="5">
        <v>100</v>
      </c>
      <c r="R4" s="2"/>
      <c r="S4" s="2"/>
      <c r="T4" s="2"/>
      <c r="U4" s="2"/>
      <c r="V4" s="2"/>
      <c r="X4" s="15" t="s">
        <v>76</v>
      </c>
      <c r="Y4" s="15">
        <f>827-564</f>
        <v>263</v>
      </c>
      <c r="Z4" s="15">
        <f>578-420</f>
        <v>158</v>
      </c>
      <c r="AA4" s="15">
        <v>435</v>
      </c>
    </row>
    <row r="5" spans="1:27" x14ac:dyDescent="0.3">
      <c r="A5" s="14" t="e">
        <f>VLOOKUP(A1,D4:G16,4,FALSE)</f>
        <v>#N/A</v>
      </c>
      <c r="B5" s="14" t="s">
        <v>200</v>
      </c>
      <c r="C5" s="1">
        <v>3</v>
      </c>
      <c r="D5" s="2" t="e">
        <f>IF(E5&lt;&gt;0,CONCATENATE(E5,":1"),"")</f>
        <v>#N/A</v>
      </c>
      <c r="E5" s="2" t="e">
        <f t="shared" si="0"/>
        <v>#N/A</v>
      </c>
      <c r="F5" s="2" t="e">
        <f t="shared" ref="F5:F16" si="1">IF(D5&lt;&gt;0,CONCATENATE("Ratio ",D5))</f>
        <v>#N/A</v>
      </c>
      <c r="G5" s="20" t="e">
        <f t="shared" ref="G5:G16" si="2">IF(E5&gt;=16,$Z$2,0)</f>
        <v>#N/A</v>
      </c>
      <c r="I5" s="2" t="s">
        <v>124</v>
      </c>
      <c r="J5" s="2">
        <v>3</v>
      </c>
      <c r="K5" s="2">
        <v>5.5</v>
      </c>
      <c r="L5" s="2">
        <v>10</v>
      </c>
      <c r="M5" s="2">
        <v>16</v>
      </c>
      <c r="N5" s="2">
        <v>22</v>
      </c>
      <c r="O5" s="2">
        <v>55</v>
      </c>
      <c r="P5" s="2">
        <v>100</v>
      </c>
      <c r="Q5" s="2"/>
      <c r="R5" s="2"/>
      <c r="S5" s="2"/>
      <c r="T5" s="2"/>
      <c r="U5" s="2"/>
      <c r="V5" s="2"/>
      <c r="X5" s="15" t="s">
        <v>77</v>
      </c>
      <c r="Y5" s="15">
        <f>1220-942</f>
        <v>278</v>
      </c>
      <c r="Z5" s="15">
        <f>716-570</f>
        <v>146</v>
      </c>
      <c r="AA5" s="15">
        <f>2608-2183</f>
        <v>425</v>
      </c>
    </row>
    <row r="6" spans="1:27" x14ac:dyDescent="0.3">
      <c r="C6" s="1">
        <v>4</v>
      </c>
      <c r="D6" s="2" t="e">
        <f t="shared" ref="D6:D16" si="3">IF(E6&lt;&gt;0,CONCATENATE(E6,":1"),"")</f>
        <v>#N/A</v>
      </c>
      <c r="E6" s="2" t="e">
        <f t="shared" si="0"/>
        <v>#N/A</v>
      </c>
      <c r="F6" s="2" t="e">
        <f t="shared" si="1"/>
        <v>#N/A</v>
      </c>
      <c r="G6" s="20" t="e">
        <f t="shared" si="2"/>
        <v>#N/A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15"/>
      <c r="Y6" s="15"/>
      <c r="Z6" s="15"/>
      <c r="AA6" s="15"/>
    </row>
    <row r="7" spans="1:27" x14ac:dyDescent="0.3">
      <c r="C7" s="1">
        <v>5</v>
      </c>
      <c r="D7" s="2" t="e">
        <f t="shared" si="3"/>
        <v>#N/A</v>
      </c>
      <c r="E7" s="2" t="e">
        <f t="shared" si="0"/>
        <v>#N/A</v>
      </c>
      <c r="F7" s="2" t="e">
        <f t="shared" si="1"/>
        <v>#N/A</v>
      </c>
      <c r="G7" s="20" t="e">
        <f t="shared" si="2"/>
        <v>#N/A</v>
      </c>
      <c r="X7" s="1" t="s">
        <v>8</v>
      </c>
    </row>
    <row r="8" spans="1:27" x14ac:dyDescent="0.3">
      <c r="C8" s="1">
        <v>6</v>
      </c>
      <c r="D8" s="2" t="e">
        <f t="shared" si="3"/>
        <v>#N/A</v>
      </c>
      <c r="E8" s="2" t="e">
        <f t="shared" si="0"/>
        <v>#N/A</v>
      </c>
      <c r="F8" s="2" t="e">
        <f t="shared" si="1"/>
        <v>#N/A</v>
      </c>
      <c r="G8" s="20" t="e">
        <f t="shared" si="2"/>
        <v>#N/A</v>
      </c>
      <c r="X8" s="1" t="e">
        <f>'G-Type'!A2</f>
        <v>#N/A</v>
      </c>
    </row>
    <row r="9" spans="1:27" x14ac:dyDescent="0.3">
      <c r="C9" s="1">
        <v>7</v>
      </c>
      <c r="D9" s="2" t="e">
        <f t="shared" si="3"/>
        <v>#N/A</v>
      </c>
      <c r="E9" s="2" t="e">
        <f t="shared" si="0"/>
        <v>#N/A</v>
      </c>
      <c r="F9" s="2" t="e">
        <f t="shared" si="1"/>
        <v>#N/A</v>
      </c>
      <c r="G9" s="20" t="e">
        <f t="shared" si="2"/>
        <v>#N/A</v>
      </c>
      <c r="X9" s="14" t="s">
        <v>122</v>
      </c>
      <c r="Y9" s="14" t="e">
        <f>VLOOKUP(X2,X3:AA5,2)</f>
        <v>#N/A</v>
      </c>
    </row>
    <row r="10" spans="1:27" x14ac:dyDescent="0.3">
      <c r="C10" s="1">
        <v>8</v>
      </c>
      <c r="D10" s="2" t="e">
        <f t="shared" si="3"/>
        <v>#N/A</v>
      </c>
      <c r="E10" s="2" t="e">
        <f t="shared" si="0"/>
        <v>#N/A</v>
      </c>
      <c r="F10" s="2" t="e">
        <f t="shared" si="1"/>
        <v>#N/A</v>
      </c>
      <c r="G10" s="20" t="e">
        <f t="shared" si="2"/>
        <v>#N/A</v>
      </c>
      <c r="X10" s="14" t="s">
        <v>123</v>
      </c>
      <c r="Y10" s="14" t="e">
        <f>VLOOKUP(X2,X3:AA5,3)</f>
        <v>#N/A</v>
      </c>
    </row>
    <row r="11" spans="1:27" x14ac:dyDescent="0.3">
      <c r="C11" s="1">
        <v>9</v>
      </c>
      <c r="D11" s="2" t="e">
        <f t="shared" si="3"/>
        <v>#N/A</v>
      </c>
      <c r="E11" s="2" t="e">
        <f t="shared" si="0"/>
        <v>#N/A</v>
      </c>
      <c r="F11" s="2" t="e">
        <f t="shared" si="1"/>
        <v>#N/A</v>
      </c>
      <c r="G11" s="20" t="e">
        <f t="shared" si="2"/>
        <v>#N/A</v>
      </c>
      <c r="X11" s="14" t="s">
        <v>124</v>
      </c>
      <c r="Y11" s="14" t="e">
        <f>VLOOKUP(X2,X3:AA5,4)</f>
        <v>#N/A</v>
      </c>
    </row>
    <row r="12" spans="1:27" x14ac:dyDescent="0.3">
      <c r="C12" s="1">
        <v>10</v>
      </c>
      <c r="D12" s="2" t="e">
        <f t="shared" si="3"/>
        <v>#N/A</v>
      </c>
      <c r="E12" s="2" t="e">
        <f t="shared" si="0"/>
        <v>#N/A</v>
      </c>
      <c r="F12" s="2" t="e">
        <f t="shared" si="1"/>
        <v>#N/A</v>
      </c>
      <c r="G12" s="20" t="e">
        <f t="shared" si="2"/>
        <v>#N/A</v>
      </c>
    </row>
    <row r="13" spans="1:27" x14ac:dyDescent="0.3">
      <c r="C13" s="1">
        <v>11</v>
      </c>
      <c r="D13" s="2" t="e">
        <f t="shared" si="3"/>
        <v>#N/A</v>
      </c>
      <c r="E13" s="2" t="e">
        <f t="shared" si="0"/>
        <v>#N/A</v>
      </c>
      <c r="F13" s="2" t="e">
        <f t="shared" si="1"/>
        <v>#N/A</v>
      </c>
      <c r="G13" s="20" t="e">
        <f t="shared" si="2"/>
        <v>#N/A</v>
      </c>
    </row>
    <row r="14" spans="1:27" x14ac:dyDescent="0.3">
      <c r="C14" s="1">
        <v>12</v>
      </c>
      <c r="D14" s="2" t="e">
        <f t="shared" si="3"/>
        <v>#N/A</v>
      </c>
      <c r="E14" s="2" t="e">
        <f t="shared" si="0"/>
        <v>#N/A</v>
      </c>
      <c r="F14" s="2" t="e">
        <f t="shared" si="1"/>
        <v>#N/A</v>
      </c>
      <c r="G14" s="20" t="e">
        <f t="shared" si="2"/>
        <v>#N/A</v>
      </c>
    </row>
    <row r="15" spans="1:27" x14ac:dyDescent="0.3">
      <c r="C15" s="1">
        <v>13</v>
      </c>
      <c r="D15" s="2" t="e">
        <f t="shared" si="3"/>
        <v>#N/A</v>
      </c>
      <c r="E15" s="2" t="e">
        <f t="shared" si="0"/>
        <v>#N/A</v>
      </c>
      <c r="F15" s="2" t="e">
        <f t="shared" si="1"/>
        <v>#N/A</v>
      </c>
      <c r="G15" s="20" t="e">
        <f t="shared" si="2"/>
        <v>#N/A</v>
      </c>
    </row>
    <row r="16" spans="1:27" x14ac:dyDescent="0.3">
      <c r="C16" s="1">
        <v>14</v>
      </c>
      <c r="D16" s="2" t="e">
        <f t="shared" si="3"/>
        <v>#N/A</v>
      </c>
      <c r="E16" s="2" t="e">
        <f t="shared" si="0"/>
        <v>#N/A</v>
      </c>
      <c r="F16" s="2" t="e">
        <f t="shared" si="1"/>
        <v>#N/A</v>
      </c>
      <c r="G16" s="20" t="e">
        <f t="shared" si="2"/>
        <v>#N/A</v>
      </c>
    </row>
  </sheetData>
  <customSheetViews>
    <customSheetView guid="{52C17BD0-9019-43AE-9B1C-4B881AB3FBFD}" state="hidden">
      <selection activeCell="A4" sqref="A4:B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10"/>
  <sheetViews>
    <sheetView workbookViewId="0"/>
  </sheetViews>
  <sheetFormatPr defaultColWidth="9.33203125" defaultRowHeight="14.4" x14ac:dyDescent="0.3"/>
  <cols>
    <col min="1" max="1" width="25.33203125" style="1" customWidth="1"/>
    <col min="2" max="3" width="9.33203125" style="1"/>
    <col min="4" max="4" width="27.5546875" style="1" customWidth="1"/>
    <col min="5" max="5" width="10.5546875" style="1" customWidth="1"/>
    <col min="6" max="6" width="22.33203125" style="1" customWidth="1"/>
    <col min="7" max="16384" width="9.33203125" style="1"/>
  </cols>
  <sheetData>
    <row r="1" spans="1:13" x14ac:dyDescent="0.3">
      <c r="A1" s="3">
        <f>Generator!H20</f>
        <v>0</v>
      </c>
      <c r="B1" s="3" t="s">
        <v>20</v>
      </c>
      <c r="H1" s="1" t="s">
        <v>82</v>
      </c>
    </row>
    <row r="2" spans="1:13" x14ac:dyDescent="0.3">
      <c r="A2" s="3" t="e">
        <f>IF(VLOOKUP(A1,D4:F5,2,FALSE)="Standard","",VLOOKUP(A1,D4:F5,2,FALSE))</f>
        <v>#N/A</v>
      </c>
      <c r="B2" s="3" t="s">
        <v>21</v>
      </c>
      <c r="H2" s="1">
        <f>'G-Frame'!A1</f>
        <v>0</v>
      </c>
      <c r="M2" s="1" t="s">
        <v>133</v>
      </c>
    </row>
    <row r="3" spans="1:13" x14ac:dyDescent="0.3">
      <c r="A3" s="3" t="e">
        <f>VLOOKUP(A1,D4:F5,3,FALSE)</f>
        <v>#N/A</v>
      </c>
      <c r="B3" s="3" t="s">
        <v>22</v>
      </c>
      <c r="D3" s="3" t="s">
        <v>23</v>
      </c>
      <c r="E3" s="3" t="s">
        <v>24</v>
      </c>
      <c r="F3" s="3" t="s">
        <v>25</v>
      </c>
      <c r="H3" s="4" t="s">
        <v>83</v>
      </c>
      <c r="I3" s="4" t="s">
        <v>136</v>
      </c>
      <c r="J3" s="4"/>
      <c r="M3" s="3" t="s">
        <v>135</v>
      </c>
    </row>
    <row r="4" spans="1:13" x14ac:dyDescent="0.3">
      <c r="A4" s="14"/>
      <c r="B4" s="14" t="s">
        <v>199</v>
      </c>
      <c r="C4" s="1">
        <v>2</v>
      </c>
      <c r="D4" s="2" t="e">
        <f>CONCATENATE(F4," ",E4)</f>
        <v>#N/A</v>
      </c>
      <c r="E4" s="2" t="e">
        <f>VLOOKUP($H$2,$H$3:$J$5,C4,FALSE)</f>
        <v>#N/A</v>
      </c>
      <c r="F4" s="2" t="e">
        <f>VLOOKUP(E4,$H$7:$I$10,2,FALSE)</f>
        <v>#N/A</v>
      </c>
      <c r="H4" s="4" t="s">
        <v>76</v>
      </c>
      <c r="I4" s="4" t="s">
        <v>136</v>
      </c>
      <c r="J4" s="4">
        <v>-0.375</v>
      </c>
      <c r="M4" s="3" t="s">
        <v>134</v>
      </c>
    </row>
    <row r="5" spans="1:13" x14ac:dyDescent="0.3">
      <c r="A5" s="14"/>
      <c r="B5" s="14" t="s">
        <v>200</v>
      </c>
      <c r="C5" s="1">
        <v>3</v>
      </c>
      <c r="D5" s="2" t="e">
        <f>IF(E5&lt;&gt;0,CONCATENATE(F5," ",E5),"")</f>
        <v>#N/A</v>
      </c>
      <c r="E5" s="2" t="e">
        <f>VLOOKUP($H$2,$H$3:$J$5,C5,FALSE)</f>
        <v>#N/A</v>
      </c>
      <c r="F5" s="2" t="e">
        <f>VLOOKUP(E5,$H$7:$I$10,2,FALSE)</f>
        <v>#N/A</v>
      </c>
      <c r="H5" s="4" t="s">
        <v>77</v>
      </c>
      <c r="I5" s="4" t="s">
        <v>136</v>
      </c>
      <c r="J5" s="9">
        <v>-0.5</v>
      </c>
      <c r="M5" s="10" t="s">
        <v>131</v>
      </c>
    </row>
    <row r="7" spans="1:13" x14ac:dyDescent="0.3">
      <c r="H7" s="4" t="s">
        <v>136</v>
      </c>
      <c r="I7" s="10" t="e">
        <f>VLOOKUP($H$2,$H$3:$M$5,6,FALSE)</f>
        <v>#N/A</v>
      </c>
    </row>
    <row r="8" spans="1:13" x14ac:dyDescent="0.3">
      <c r="H8" s="2">
        <v>-0.375</v>
      </c>
      <c r="I8" s="10" t="s">
        <v>131</v>
      </c>
    </row>
    <row r="9" spans="1:13" x14ac:dyDescent="0.3">
      <c r="H9" s="2">
        <v>-0.5</v>
      </c>
      <c r="I9" s="11" t="s">
        <v>130</v>
      </c>
    </row>
    <row r="10" spans="1:13" x14ac:dyDescent="0.3">
      <c r="H10" s="8" t="s">
        <v>137</v>
      </c>
      <c r="I10" s="11" t="s">
        <v>132</v>
      </c>
    </row>
  </sheetData>
  <customSheetViews>
    <customSheetView guid="{52C17BD0-9019-43AE-9B1C-4B881AB3FBFD}" state="hidden">
      <selection activeCell="D36" sqref="D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14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5" width="10.5546875" style="1" customWidth="1"/>
    <col min="6" max="6" width="29" style="1" customWidth="1"/>
    <col min="7" max="16384" width="9.33203125" style="1"/>
  </cols>
  <sheetData>
    <row r="1" spans="1:6" x14ac:dyDescent="0.3">
      <c r="A1" s="3" t="e">
        <f>Generator!#REF!</f>
        <v>#REF!</v>
      </c>
      <c r="B1" s="3" t="s">
        <v>20</v>
      </c>
    </row>
    <row r="2" spans="1:6" x14ac:dyDescent="0.3">
      <c r="A2" s="3" t="e">
        <f>VLOOKUP(A1,D4:F13,2,FALSE)</f>
        <v>#REF!</v>
      </c>
      <c r="B2" s="3" t="s">
        <v>21</v>
      </c>
    </row>
    <row r="3" spans="1:6" x14ac:dyDescent="0.3">
      <c r="A3" s="3" t="e">
        <f>VLOOKUP(A1,D4:F13,3,FALSE)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D4" s="2" t="s">
        <v>26</v>
      </c>
      <c r="E4" s="2" t="s">
        <v>0</v>
      </c>
      <c r="F4" s="2" t="s">
        <v>28</v>
      </c>
    </row>
    <row r="5" spans="1:6" x14ac:dyDescent="0.3">
      <c r="D5" s="2" t="s">
        <v>27</v>
      </c>
      <c r="E5" s="2" t="s">
        <v>1</v>
      </c>
      <c r="F5" s="2" t="s">
        <v>32</v>
      </c>
    </row>
    <row r="6" spans="1:6" x14ac:dyDescent="0.3">
      <c r="D6" s="2" t="s">
        <v>153</v>
      </c>
      <c r="E6" s="2" t="s">
        <v>153</v>
      </c>
      <c r="F6" s="2" t="s">
        <v>154</v>
      </c>
    </row>
    <row r="7" spans="1:6" x14ac:dyDescent="0.3">
      <c r="D7" s="2" t="s">
        <v>151</v>
      </c>
      <c r="E7" s="2" t="s">
        <v>151</v>
      </c>
      <c r="F7" s="2" t="s">
        <v>152</v>
      </c>
    </row>
    <row r="8" spans="1:6" x14ac:dyDescent="0.3">
      <c r="D8" s="2" t="s">
        <v>48</v>
      </c>
      <c r="E8" s="2" t="s">
        <v>6</v>
      </c>
      <c r="F8" s="2" t="s">
        <v>34</v>
      </c>
    </row>
    <row r="9" spans="1:6" x14ac:dyDescent="0.3">
      <c r="D9" s="2" t="s">
        <v>47</v>
      </c>
      <c r="E9" s="2" t="s">
        <v>3</v>
      </c>
      <c r="F9" s="2" t="s">
        <v>35</v>
      </c>
    </row>
    <row r="10" spans="1:6" x14ac:dyDescent="0.3">
      <c r="D10" s="2" t="s">
        <v>46</v>
      </c>
      <c r="E10" s="2" t="s">
        <v>7</v>
      </c>
      <c r="F10" s="2" t="s">
        <v>36</v>
      </c>
    </row>
    <row r="11" spans="1:6" x14ac:dyDescent="0.3">
      <c r="D11" s="2" t="s">
        <v>50</v>
      </c>
      <c r="E11" s="2" t="s">
        <v>4</v>
      </c>
      <c r="F11" s="2" t="s">
        <v>30</v>
      </c>
    </row>
    <row r="12" spans="1:6" x14ac:dyDescent="0.3">
      <c r="D12" s="2" t="s">
        <v>49</v>
      </c>
      <c r="E12" s="2" t="s">
        <v>5</v>
      </c>
      <c r="F12" s="2" t="s">
        <v>31</v>
      </c>
    </row>
    <row r="13" spans="1:6" x14ac:dyDescent="0.3">
      <c r="D13" s="2" t="s">
        <v>51</v>
      </c>
      <c r="E13" s="2" t="s">
        <v>2</v>
      </c>
      <c r="F13" s="2" t="s">
        <v>29</v>
      </c>
    </row>
    <row r="14" spans="1:6" x14ac:dyDescent="0.3">
      <c r="D14" s="2"/>
      <c r="E14" s="2"/>
      <c r="F14" s="2"/>
    </row>
  </sheetData>
  <sortState xmlns:xlrd2="http://schemas.microsoft.com/office/spreadsheetml/2017/richdata2" ref="D4:F13">
    <sortCondition ref="D4"/>
  </sortState>
  <customSheetViews>
    <customSheetView guid="{52C17BD0-9019-43AE-9B1C-4B881AB3FBFD}" state="hidden">
      <selection activeCell="D13" sqref="D1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4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5" width="10.5546875" style="1" customWidth="1"/>
    <col min="6" max="6" width="29" style="1" customWidth="1"/>
    <col min="7" max="16384" width="9.33203125" style="1"/>
  </cols>
  <sheetData>
    <row r="1" spans="1:6" x14ac:dyDescent="0.3">
      <c r="A1" s="3" t="e">
        <f>Generator!#REF!</f>
        <v>#REF!</v>
      </c>
      <c r="B1" s="3" t="s">
        <v>20</v>
      </c>
    </row>
    <row r="2" spans="1:6" x14ac:dyDescent="0.3">
      <c r="A2" s="3" t="e">
        <f>VLOOKUP(A1,D4:F5,2,FALSE)</f>
        <v>#REF!</v>
      </c>
      <c r="B2" s="3" t="s">
        <v>21</v>
      </c>
    </row>
    <row r="3" spans="1:6" x14ac:dyDescent="0.3">
      <c r="A3" s="3" t="e">
        <f>VLOOKUP(A1,D4:F13,3,FALSE)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A4" s="14">
        <v>0</v>
      </c>
      <c r="B4" s="14" t="s">
        <v>199</v>
      </c>
      <c r="D4" s="2" t="s">
        <v>160</v>
      </c>
      <c r="E4" s="2" t="s">
        <v>160</v>
      </c>
      <c r="F4" s="2" t="s">
        <v>161</v>
      </c>
    </row>
    <row r="5" spans="1:6" x14ac:dyDescent="0.3">
      <c r="A5" s="14">
        <v>0</v>
      </c>
      <c r="B5" s="14" t="s">
        <v>200</v>
      </c>
      <c r="D5" s="2"/>
      <c r="E5" s="2"/>
      <c r="F5" s="2"/>
    </row>
    <row r="6" spans="1:6" x14ac:dyDescent="0.3">
      <c r="D6" s="2"/>
      <c r="E6" s="2"/>
      <c r="F6" s="2"/>
    </row>
    <row r="7" spans="1:6" x14ac:dyDescent="0.3">
      <c r="D7" s="2"/>
      <c r="E7" s="2"/>
      <c r="F7" s="2"/>
    </row>
    <row r="8" spans="1:6" x14ac:dyDescent="0.3">
      <c r="D8" s="2"/>
      <c r="E8" s="2"/>
      <c r="F8" s="2"/>
    </row>
    <row r="9" spans="1:6" x14ac:dyDescent="0.3">
      <c r="D9" s="2"/>
      <c r="E9" s="2"/>
      <c r="F9" s="2"/>
    </row>
    <row r="10" spans="1:6" x14ac:dyDescent="0.3">
      <c r="D10" s="2"/>
      <c r="E10" s="2"/>
      <c r="F10" s="2"/>
    </row>
    <row r="11" spans="1:6" x14ac:dyDescent="0.3">
      <c r="D11" s="2"/>
      <c r="E11" s="2"/>
      <c r="F11" s="2"/>
    </row>
    <row r="12" spans="1:6" x14ac:dyDescent="0.3">
      <c r="D12" s="2"/>
      <c r="E12" s="2"/>
      <c r="F12" s="2"/>
    </row>
    <row r="13" spans="1:6" x14ac:dyDescent="0.3">
      <c r="D13" s="2"/>
      <c r="E13" s="2"/>
      <c r="F13" s="2"/>
    </row>
    <row r="14" spans="1:6" x14ac:dyDescent="0.3">
      <c r="D14" s="2"/>
      <c r="E14" s="2"/>
      <c r="F14" s="2"/>
    </row>
  </sheetData>
  <pageMargins left="0.7" right="0.7" top="0.75" bottom="0.75" header="0.3" footer="0.3"/>
  <pageSetup orientation="portrait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1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33.33203125" style="1" customWidth="1"/>
    <col min="7" max="16384" width="9.33203125" style="1"/>
  </cols>
  <sheetData>
    <row r="1" spans="1:12" x14ac:dyDescent="0.3">
      <c r="A1" s="3" t="e">
        <f>Generator!#REF!</f>
        <v>#REF!</v>
      </c>
      <c r="B1" s="3" t="s">
        <v>20</v>
      </c>
      <c r="H1" s="1" t="s">
        <v>82</v>
      </c>
    </row>
    <row r="2" spans="1:12" x14ac:dyDescent="0.3">
      <c r="A2" s="7" t="e">
        <f>VLOOKUP(A1,D4:F10,2,FALSE)</f>
        <v>#REF!</v>
      </c>
      <c r="B2" s="3" t="s">
        <v>21</v>
      </c>
      <c r="H2" s="1" t="e">
        <f>'RA-Series'!A1</f>
        <v>#REF!</v>
      </c>
    </row>
    <row r="3" spans="1:12" x14ac:dyDescent="0.3">
      <c r="A3" s="3" t="e">
        <f>VLOOKUP(A1,D4:F10,3,FALSE)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4" t="s">
        <v>160</v>
      </c>
      <c r="I3" s="4">
        <v>16</v>
      </c>
      <c r="J3" s="4">
        <v>25</v>
      </c>
      <c r="K3" s="4">
        <v>50</v>
      </c>
      <c r="L3" s="4">
        <v>100</v>
      </c>
    </row>
    <row r="4" spans="1:12" x14ac:dyDescent="0.3">
      <c r="A4" s="14">
        <v>0</v>
      </c>
      <c r="B4" s="14" t="s">
        <v>199</v>
      </c>
      <c r="C4" s="1">
        <v>2</v>
      </c>
      <c r="D4" s="2" t="e">
        <f>F4</f>
        <v>#REF!</v>
      </c>
      <c r="E4" s="2" t="e">
        <f>VLOOKUP($H$2,$H$3:$L$4,C4,FALSE)</f>
        <v>#REF!</v>
      </c>
      <c r="F4" s="2" t="e">
        <f>VLOOKUP(E4,$H$8:$I$11,2,FALSE)</f>
        <v>#REF!</v>
      </c>
      <c r="H4" s="4"/>
      <c r="I4" s="4"/>
      <c r="J4" s="4"/>
      <c r="K4" s="4"/>
      <c r="L4" s="4"/>
    </row>
    <row r="5" spans="1:12" x14ac:dyDescent="0.3">
      <c r="A5" s="14" t="e">
        <f>VLOOKUP(A1,D4:G6,4,FALSE)</f>
        <v>#REF!</v>
      </c>
      <c r="B5" s="14" t="s">
        <v>200</v>
      </c>
      <c r="C5" s="1">
        <v>3</v>
      </c>
      <c r="D5" s="2" t="e">
        <f t="shared" ref="D5:D7" si="0">F5</f>
        <v>#REF!</v>
      </c>
      <c r="E5" s="2" t="e">
        <f t="shared" ref="E5:E7" si="1">VLOOKUP($H$2,$H$3:$L$4,C5,FALSE)</f>
        <v>#REF!</v>
      </c>
      <c r="F5" s="2" t="e">
        <f>VLOOKUP(E5,$H$8:$I$11,2,FALSE)</f>
        <v>#REF!</v>
      </c>
      <c r="H5" s="18"/>
      <c r="I5" s="18"/>
      <c r="J5" s="18"/>
      <c r="K5" s="18"/>
      <c r="L5" s="18"/>
    </row>
    <row r="6" spans="1:12" x14ac:dyDescent="0.3">
      <c r="C6" s="1">
        <v>4</v>
      </c>
      <c r="D6" s="2" t="e">
        <f t="shared" si="0"/>
        <v>#REF!</v>
      </c>
      <c r="E6" s="2" t="e">
        <f t="shared" si="1"/>
        <v>#REF!</v>
      </c>
      <c r="F6" s="2" t="e">
        <f>VLOOKUP(E6,$H$8:$I$11,2,FALSE)</f>
        <v>#REF!</v>
      </c>
      <c r="H6" s="18"/>
      <c r="I6" s="18"/>
      <c r="J6" s="18"/>
      <c r="K6" s="18"/>
      <c r="L6" s="18"/>
    </row>
    <row r="7" spans="1:12" x14ac:dyDescent="0.3">
      <c r="C7" s="1">
        <v>5</v>
      </c>
      <c r="D7" s="2" t="e">
        <f t="shared" si="0"/>
        <v>#REF!</v>
      </c>
      <c r="E7" s="2" t="e">
        <f t="shared" si="1"/>
        <v>#REF!</v>
      </c>
      <c r="F7" s="2" t="e">
        <f>VLOOKUP(E7,$H$8:$I$11,2,FALSE)</f>
        <v>#REF!</v>
      </c>
    </row>
    <row r="8" spans="1:12" x14ac:dyDescent="0.3">
      <c r="C8" s="1">
        <v>6</v>
      </c>
      <c r="D8" s="2"/>
      <c r="E8" s="2"/>
      <c r="F8" s="2"/>
      <c r="H8" s="2">
        <v>16</v>
      </c>
      <c r="I8" s="130" t="s">
        <v>163</v>
      </c>
      <c r="J8" s="130"/>
    </row>
    <row r="9" spans="1:12" x14ac:dyDescent="0.3">
      <c r="C9" s="1">
        <v>7</v>
      </c>
      <c r="D9" s="2"/>
      <c r="E9" s="2"/>
      <c r="F9" s="2"/>
      <c r="H9" s="2">
        <v>25</v>
      </c>
      <c r="I9" s="130" t="s">
        <v>162</v>
      </c>
      <c r="J9" s="130"/>
    </row>
    <row r="10" spans="1:12" x14ac:dyDescent="0.3">
      <c r="C10" s="1">
        <v>8</v>
      </c>
      <c r="D10" s="2"/>
      <c r="E10" s="2"/>
      <c r="F10" s="2"/>
      <c r="H10" s="2">
        <v>50</v>
      </c>
      <c r="I10" s="130" t="s">
        <v>164</v>
      </c>
      <c r="J10" s="130"/>
    </row>
    <row r="11" spans="1:12" x14ac:dyDescent="0.3">
      <c r="H11" s="2">
        <v>100</v>
      </c>
      <c r="I11" s="130" t="s">
        <v>165</v>
      </c>
      <c r="J11" s="130"/>
    </row>
  </sheetData>
  <mergeCells count="4">
    <mergeCell ref="I8:J8"/>
    <mergeCell ref="I9:J9"/>
    <mergeCell ref="I10:J10"/>
    <mergeCell ref="I11:J11"/>
  </mergeCells>
  <pageMargins left="0.7" right="0.7" top="0.75" bottom="0.75" header="0.3" footer="0.3"/>
  <pageSetup orientation="portrait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0D59A-A1F3-4703-A85D-DCD1018A4C40}">
  <dimension ref="B1:H27"/>
  <sheetViews>
    <sheetView workbookViewId="0">
      <selection activeCell="J12" sqref="J12"/>
    </sheetView>
  </sheetViews>
  <sheetFormatPr defaultRowHeight="14.4" x14ac:dyDescent="0.3"/>
  <cols>
    <col min="2" max="2" width="25.109375" bestFit="1" customWidth="1"/>
    <col min="4" max="4" width="27.33203125" bestFit="1" customWidth="1"/>
    <col min="5" max="5" width="9.5546875" customWidth="1"/>
    <col min="6" max="6" width="12.33203125" bestFit="1" customWidth="1"/>
    <col min="7" max="7" width="26.33203125" bestFit="1" customWidth="1"/>
    <col min="8" max="8" width="29" bestFit="1" customWidth="1"/>
  </cols>
  <sheetData>
    <row r="1" spans="2:8" x14ac:dyDescent="0.3">
      <c r="B1" s="80"/>
      <c r="C1" s="80"/>
    </row>
    <row r="2" spans="2:8" x14ac:dyDescent="0.3">
      <c r="B2" s="80" t="s">
        <v>23</v>
      </c>
      <c r="C2" s="80" t="s">
        <v>24</v>
      </c>
      <c r="D2" s="80" t="s">
        <v>247</v>
      </c>
      <c r="F2" s="80" t="s">
        <v>273</v>
      </c>
      <c r="G2" s="80" t="s">
        <v>247</v>
      </c>
      <c r="H2" s="80" t="s">
        <v>383</v>
      </c>
    </row>
    <row r="3" spans="2:8" x14ac:dyDescent="0.3">
      <c r="B3" s="80" t="s">
        <v>486</v>
      </c>
      <c r="C3" s="85">
        <v>2</v>
      </c>
      <c r="D3" s="80" t="s">
        <v>487</v>
      </c>
      <c r="F3" s="80" t="e">
        <f>VLOOKUP(Generator!E32,'DS-Current'!B3:C9,2,FALSE)</f>
        <v>#N/A</v>
      </c>
      <c r="G3" t="e">
        <f>VLOOKUP(F3,C3:D9,2,FALSE)</f>
        <v>#N/A</v>
      </c>
      <c r="H3" s="80" t="s">
        <v>488</v>
      </c>
    </row>
    <row r="4" spans="2:8" x14ac:dyDescent="0.3">
      <c r="B4" s="80" t="s">
        <v>489</v>
      </c>
      <c r="C4" s="85">
        <v>4</v>
      </c>
      <c r="D4" s="80" t="s">
        <v>490</v>
      </c>
    </row>
    <row r="5" spans="2:8" x14ac:dyDescent="0.3">
      <c r="B5" s="80" t="s">
        <v>491</v>
      </c>
      <c r="C5" s="85">
        <v>6</v>
      </c>
      <c r="D5" s="80" t="s">
        <v>492</v>
      </c>
      <c r="H5" s="80" t="s">
        <v>493</v>
      </c>
    </row>
    <row r="6" spans="2:8" x14ac:dyDescent="0.3">
      <c r="B6" s="80" t="s">
        <v>494</v>
      </c>
      <c r="C6" s="85">
        <v>8</v>
      </c>
      <c r="D6" s="80" t="s">
        <v>495</v>
      </c>
      <c r="H6" s="80" t="s">
        <v>496</v>
      </c>
    </row>
    <row r="7" spans="2:8" x14ac:dyDescent="0.3">
      <c r="B7" s="80" t="s">
        <v>497</v>
      </c>
      <c r="C7" s="85">
        <v>12</v>
      </c>
      <c r="D7" s="80" t="s">
        <v>498</v>
      </c>
    </row>
    <row r="8" spans="2:8" x14ac:dyDescent="0.3">
      <c r="B8" s="80" t="s">
        <v>499</v>
      </c>
      <c r="C8" s="85">
        <v>16</v>
      </c>
      <c r="D8" s="80" t="s">
        <v>500</v>
      </c>
    </row>
    <row r="9" spans="2:8" x14ac:dyDescent="0.3">
      <c r="B9" s="80" t="s">
        <v>501</v>
      </c>
      <c r="C9" s="85">
        <v>24</v>
      </c>
      <c r="D9" s="80" t="s">
        <v>502</v>
      </c>
    </row>
    <row r="10" spans="2:8" x14ac:dyDescent="0.3">
      <c r="B10" s="80"/>
      <c r="C10" s="80"/>
    </row>
    <row r="11" spans="2:8" x14ac:dyDescent="0.3">
      <c r="B11" s="80"/>
      <c r="C11" s="80"/>
    </row>
    <row r="12" spans="2:8" x14ac:dyDescent="0.3">
      <c r="B12" s="80"/>
      <c r="C12" s="80"/>
    </row>
    <row r="13" spans="2:8" x14ac:dyDescent="0.3">
      <c r="B13" s="80"/>
      <c r="C13" s="80"/>
    </row>
    <row r="14" spans="2:8" x14ac:dyDescent="0.3">
      <c r="B14" s="80"/>
      <c r="C14" s="80"/>
    </row>
    <row r="15" spans="2:8" x14ac:dyDescent="0.3">
      <c r="B15" s="80" t="s">
        <v>503</v>
      </c>
      <c r="C15" s="80" t="s">
        <v>504</v>
      </c>
      <c r="D15" s="80" t="s">
        <v>387</v>
      </c>
      <c r="E15" s="80" t="s">
        <v>388</v>
      </c>
    </row>
    <row r="16" spans="2:8" x14ac:dyDescent="0.3">
      <c r="B16" s="80" t="s">
        <v>505</v>
      </c>
      <c r="C16" s="86">
        <v>1906</v>
      </c>
      <c r="D16" s="86">
        <v>1906</v>
      </c>
      <c r="E16" s="86">
        <v>0</v>
      </c>
    </row>
    <row r="17" spans="2:5" x14ac:dyDescent="0.3">
      <c r="B17" s="80" t="s">
        <v>506</v>
      </c>
      <c r="C17" s="86">
        <v>2006</v>
      </c>
      <c r="D17" s="86">
        <v>2006</v>
      </c>
      <c r="E17" s="86">
        <v>0</v>
      </c>
    </row>
    <row r="18" spans="2:5" x14ac:dyDescent="0.3">
      <c r="B18" s="80" t="s">
        <v>507</v>
      </c>
      <c r="C18" s="86">
        <v>2150</v>
      </c>
      <c r="D18" s="86">
        <v>2150</v>
      </c>
      <c r="E18" s="86">
        <v>0</v>
      </c>
    </row>
    <row r="19" spans="2:5" x14ac:dyDescent="0.3">
      <c r="B19" s="80" t="s">
        <v>508</v>
      </c>
      <c r="C19" s="86">
        <v>2240</v>
      </c>
      <c r="D19" s="86">
        <v>2240</v>
      </c>
      <c r="E19" s="86">
        <v>0</v>
      </c>
    </row>
    <row r="20" spans="2:5" x14ac:dyDescent="0.3">
      <c r="B20" s="80" t="s">
        <v>509</v>
      </c>
      <c r="C20" s="86">
        <v>2256</v>
      </c>
      <c r="D20" s="86">
        <v>2256</v>
      </c>
      <c r="E20" s="86">
        <v>0</v>
      </c>
    </row>
    <row r="21" spans="2:5" x14ac:dyDescent="0.3">
      <c r="B21" s="80" t="s">
        <v>510</v>
      </c>
      <c r="C21" s="86">
        <v>2950</v>
      </c>
      <c r="D21" s="86">
        <v>2950</v>
      </c>
      <c r="E21" s="86">
        <v>0</v>
      </c>
    </row>
    <row r="22" spans="2:5" x14ac:dyDescent="0.3">
      <c r="B22" s="80" t="s">
        <v>511</v>
      </c>
      <c r="C22" s="86">
        <v>3110</v>
      </c>
      <c r="D22" s="86">
        <v>3110</v>
      </c>
      <c r="E22" s="86">
        <v>0</v>
      </c>
    </row>
    <row r="23" spans="2:5" x14ac:dyDescent="0.3">
      <c r="B23" s="80"/>
      <c r="C23" s="80"/>
      <c r="D23" s="80"/>
      <c r="E23" s="80"/>
    </row>
    <row r="24" spans="2:5" x14ac:dyDescent="0.3">
      <c r="B24" s="80"/>
      <c r="C24" s="80"/>
      <c r="D24" s="80"/>
      <c r="E24" s="80"/>
    </row>
    <row r="25" spans="2:5" x14ac:dyDescent="0.3">
      <c r="B25" s="80" t="s">
        <v>512</v>
      </c>
      <c r="C25" s="80" t="s">
        <v>504</v>
      </c>
      <c r="D25" s="80" t="s">
        <v>387</v>
      </c>
      <c r="E25" s="80" t="s">
        <v>388</v>
      </c>
    </row>
    <row r="26" spans="2:5" x14ac:dyDescent="0.3">
      <c r="B26" s="80" t="s">
        <v>513</v>
      </c>
      <c r="C26" s="86">
        <v>86.66</v>
      </c>
      <c r="D26" s="86">
        <v>86.66</v>
      </c>
      <c r="E26" s="86">
        <v>0</v>
      </c>
    </row>
    <row r="27" spans="2:5" x14ac:dyDescent="0.3">
      <c r="B27" s="80" t="s">
        <v>514</v>
      </c>
      <c r="C27" s="86">
        <v>118.76</v>
      </c>
      <c r="D27" s="86">
        <v>118.76</v>
      </c>
      <c r="E27" s="86">
        <v>0</v>
      </c>
    </row>
  </sheetData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BN245"/>
  <sheetViews>
    <sheetView workbookViewId="0"/>
  </sheetViews>
  <sheetFormatPr defaultColWidth="9.33203125" defaultRowHeight="14.4" x14ac:dyDescent="0.3"/>
  <cols>
    <col min="1" max="1" width="19" style="1" customWidth="1"/>
    <col min="2" max="3" width="9.33203125" style="1"/>
    <col min="4" max="4" width="7.5546875" style="1" customWidth="1"/>
    <col min="5" max="5" width="11.33203125" style="1" customWidth="1"/>
    <col min="6" max="6" width="21" style="1" customWidth="1"/>
    <col min="7" max="16384" width="9.33203125" style="1"/>
  </cols>
  <sheetData>
    <row r="1" spans="1:66" x14ac:dyDescent="0.3">
      <c r="A1" s="3" t="e">
        <f>Generator!#REF!</f>
        <v>#REF!</v>
      </c>
      <c r="B1" s="3" t="s">
        <v>20</v>
      </c>
      <c r="H1" s="1" t="s">
        <v>33</v>
      </c>
    </row>
    <row r="2" spans="1:66" x14ac:dyDescent="0.3">
      <c r="A2" s="3" t="e">
        <f>VLOOKUP(A1,D4:F65,2,FALSE)</f>
        <v>#REF!</v>
      </c>
      <c r="B2" s="3" t="s">
        <v>21</v>
      </c>
      <c r="H2" s="1" t="e">
        <f>'A-Type'!A1</f>
        <v>#REF!</v>
      </c>
    </row>
    <row r="3" spans="1:66" x14ac:dyDescent="0.3">
      <c r="A3" s="3" t="e">
        <f>VLOOKUP(A1,D4:F65,3,FALSE)</f>
        <v>#REF!</v>
      </c>
      <c r="B3" s="3" t="s">
        <v>22</v>
      </c>
      <c r="D3" s="2" t="s">
        <v>23</v>
      </c>
      <c r="E3" s="3" t="s">
        <v>24</v>
      </c>
      <c r="F3" s="3" t="s">
        <v>25</v>
      </c>
      <c r="H3" s="2" t="s">
        <v>26</v>
      </c>
      <c r="I3" s="2">
        <v>112</v>
      </c>
      <c r="J3" s="2">
        <v>151</v>
      </c>
      <c r="K3" s="2">
        <v>205</v>
      </c>
      <c r="L3" s="2">
        <v>246</v>
      </c>
      <c r="M3" s="2">
        <v>259</v>
      </c>
      <c r="N3" s="2">
        <v>306</v>
      </c>
      <c r="O3" s="2">
        <v>350</v>
      </c>
      <c r="P3" s="2">
        <v>409</v>
      </c>
      <c r="Q3" s="2">
        <v>450</v>
      </c>
      <c r="R3" s="2">
        <v>484</v>
      </c>
      <c r="S3" s="2">
        <v>500</v>
      </c>
      <c r="T3" s="2">
        <v>511</v>
      </c>
      <c r="U3" s="2">
        <v>550</v>
      </c>
      <c r="V3" s="2">
        <v>576</v>
      </c>
      <c r="W3" s="2">
        <v>600</v>
      </c>
      <c r="X3" s="2">
        <v>634</v>
      </c>
      <c r="Y3" s="2">
        <v>661</v>
      </c>
      <c r="Z3" s="2">
        <v>700</v>
      </c>
      <c r="AA3" s="2">
        <v>784</v>
      </c>
      <c r="AB3" s="2">
        <v>800</v>
      </c>
      <c r="AC3" s="2">
        <v>900</v>
      </c>
      <c r="AD3" s="2">
        <v>1000</v>
      </c>
      <c r="AE3" s="2">
        <v>1044</v>
      </c>
      <c r="AF3" s="2">
        <v>1200</v>
      </c>
      <c r="AG3" s="2">
        <v>1400</v>
      </c>
      <c r="AH3" s="2">
        <v>1469</v>
      </c>
      <c r="AI3" s="2">
        <v>1600</v>
      </c>
      <c r="AJ3" s="2">
        <v>1800</v>
      </c>
      <c r="AK3" s="2">
        <v>2000</v>
      </c>
      <c r="AL3" s="2">
        <v>2200</v>
      </c>
      <c r="AM3" s="3">
        <v>2400</v>
      </c>
      <c r="AN3" s="3">
        <v>2600</v>
      </c>
      <c r="AO3" s="3">
        <v>2800</v>
      </c>
      <c r="AP3" s="3">
        <v>3000</v>
      </c>
      <c r="AQ3" s="3">
        <v>3200</v>
      </c>
    </row>
    <row r="4" spans="1:66" x14ac:dyDescent="0.3">
      <c r="A4" s="14">
        <v>0</v>
      </c>
      <c r="B4" s="14" t="s">
        <v>199</v>
      </c>
      <c r="C4" s="1">
        <v>2</v>
      </c>
      <c r="D4" s="2" t="e">
        <f>IF(E4&lt;&gt;0,E4,"")</f>
        <v>#REF!</v>
      </c>
      <c r="E4" s="2" t="e">
        <f>VLOOKUP($H$2,$H$3:$DB$12,$C4,FALSE)</f>
        <v>#REF!</v>
      </c>
      <c r="F4" s="2" t="e">
        <f>IF(D4&lt;&gt;0,CONCATENATE(D4,"mm (",TEXT(CONVERT(D4,"mm","in"),"0.0"),"in)"),"")</f>
        <v>#REF!</v>
      </c>
      <c r="G4" s="1">
        <v>2</v>
      </c>
      <c r="H4" s="2" t="s">
        <v>27</v>
      </c>
      <c r="I4" s="2">
        <v>50</v>
      </c>
      <c r="J4" s="2">
        <v>100</v>
      </c>
      <c r="K4" s="2">
        <v>150</v>
      </c>
      <c r="L4" s="2">
        <v>200</v>
      </c>
      <c r="M4" s="2">
        <v>250</v>
      </c>
      <c r="N4" s="2">
        <v>300</v>
      </c>
      <c r="O4" s="2">
        <v>350</v>
      </c>
      <c r="P4" s="2">
        <v>400</v>
      </c>
      <c r="Q4" s="2">
        <v>450</v>
      </c>
      <c r="R4" s="2">
        <v>500</v>
      </c>
      <c r="S4" s="2">
        <v>550</v>
      </c>
      <c r="T4" s="2">
        <v>600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</row>
    <row r="5" spans="1:66" x14ac:dyDescent="0.3">
      <c r="A5" s="14">
        <v>0</v>
      </c>
      <c r="B5" s="14" t="s">
        <v>200</v>
      </c>
      <c r="C5" s="1">
        <v>3</v>
      </c>
      <c r="D5" s="2" t="e">
        <f t="shared" ref="D5:D68" si="0">IF(E5&lt;&gt;0,E5,"")</f>
        <v>#REF!</v>
      </c>
      <c r="E5" s="2" t="e">
        <f t="shared" ref="E5:E68" si="1">VLOOKUP($H$2,$H$3:$DB$12,$C5,FALSE)</f>
        <v>#REF!</v>
      </c>
      <c r="F5" s="2" t="e">
        <f t="shared" ref="F5:F10" si="2">IF(D5&lt;&gt;0,CONCATENATE(D5,"mm (",TEXT(CONVERT(D5,"mm","in"),"0.0"),"in)"),"")</f>
        <v>#REF!</v>
      </c>
      <c r="G5" s="1">
        <v>3</v>
      </c>
      <c r="H5" s="2" t="s">
        <v>51</v>
      </c>
      <c r="I5" s="2">
        <v>50</v>
      </c>
      <c r="J5" s="2">
        <v>100</v>
      </c>
      <c r="K5" s="2">
        <v>150</v>
      </c>
      <c r="L5" s="2">
        <v>200</v>
      </c>
      <c r="M5" s="2">
        <v>250</v>
      </c>
      <c r="N5" s="2">
        <v>300</v>
      </c>
      <c r="O5" s="2">
        <v>350</v>
      </c>
      <c r="P5" s="2">
        <v>400</v>
      </c>
      <c r="Q5" s="2">
        <v>450</v>
      </c>
      <c r="R5" s="2">
        <v>500</v>
      </c>
      <c r="S5" s="2">
        <v>550</v>
      </c>
      <c r="T5" s="2">
        <v>600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</row>
    <row r="6" spans="1:66" x14ac:dyDescent="0.3">
      <c r="A6" s="16" t="e">
        <f>VLOOKUP(A1,D4:G101,4,FALSE)</f>
        <v>#REF!</v>
      </c>
      <c r="C6" s="1">
        <v>4</v>
      </c>
      <c r="D6" s="2" t="e">
        <f t="shared" si="0"/>
        <v>#REF!</v>
      </c>
      <c r="E6" s="2" t="e">
        <f t="shared" si="1"/>
        <v>#REF!</v>
      </c>
      <c r="F6" s="2" t="e">
        <f t="shared" si="2"/>
        <v>#REF!</v>
      </c>
      <c r="G6" s="1">
        <v>4</v>
      </c>
      <c r="H6" s="2" t="s">
        <v>50</v>
      </c>
      <c r="I6" s="2">
        <v>50</v>
      </c>
      <c r="J6" s="2">
        <v>100</v>
      </c>
      <c r="K6" s="2">
        <v>150</v>
      </c>
      <c r="L6" s="2">
        <v>200</v>
      </c>
      <c r="M6" s="2">
        <v>250</v>
      </c>
      <c r="N6" s="2">
        <v>300</v>
      </c>
      <c r="O6" s="2">
        <v>350</v>
      </c>
      <c r="P6" s="2">
        <v>400</v>
      </c>
      <c r="Q6" s="2">
        <v>450</v>
      </c>
      <c r="R6" s="2">
        <v>500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</row>
    <row r="7" spans="1:66" x14ac:dyDescent="0.3">
      <c r="C7" s="1">
        <v>5</v>
      </c>
      <c r="D7" s="2" t="e">
        <f t="shared" si="0"/>
        <v>#REF!</v>
      </c>
      <c r="E7" s="2" t="e">
        <f t="shared" si="1"/>
        <v>#REF!</v>
      </c>
      <c r="F7" s="2" t="e">
        <f t="shared" si="2"/>
        <v>#REF!</v>
      </c>
      <c r="G7" s="1">
        <v>5</v>
      </c>
      <c r="H7" s="2" t="s">
        <v>49</v>
      </c>
      <c r="I7" s="2">
        <v>50</v>
      </c>
      <c r="J7" s="2">
        <v>100</v>
      </c>
      <c r="K7" s="2">
        <v>150</v>
      </c>
      <c r="L7" s="2">
        <v>200</v>
      </c>
      <c r="M7" s="2">
        <v>250</v>
      </c>
      <c r="N7" s="2">
        <v>300</v>
      </c>
      <c r="O7" s="2">
        <v>350</v>
      </c>
      <c r="P7" s="2">
        <v>400</v>
      </c>
      <c r="Q7" s="2">
        <v>450</v>
      </c>
      <c r="R7" s="2">
        <v>500</v>
      </c>
      <c r="S7" s="2">
        <v>550</v>
      </c>
      <c r="T7" s="2">
        <v>600</v>
      </c>
      <c r="U7" s="2"/>
      <c r="V7" s="2">
        <v>700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</row>
    <row r="8" spans="1:66" x14ac:dyDescent="0.3">
      <c r="C8" s="1">
        <v>6</v>
      </c>
      <c r="D8" s="2" t="e">
        <f t="shared" si="0"/>
        <v>#REF!</v>
      </c>
      <c r="E8" s="2" t="e">
        <f t="shared" si="1"/>
        <v>#REF!</v>
      </c>
      <c r="F8" s="2" t="e">
        <f t="shared" si="2"/>
        <v>#REF!</v>
      </c>
      <c r="G8" s="1">
        <v>6</v>
      </c>
      <c r="H8" s="2" t="s">
        <v>48</v>
      </c>
      <c r="I8" s="2">
        <v>50</v>
      </c>
      <c r="J8" s="2">
        <v>100</v>
      </c>
      <c r="K8" s="2">
        <v>150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</row>
    <row r="9" spans="1:66" x14ac:dyDescent="0.3">
      <c r="C9" s="1">
        <v>7</v>
      </c>
      <c r="D9" s="2" t="e">
        <f t="shared" si="0"/>
        <v>#REF!</v>
      </c>
      <c r="E9" s="2" t="e">
        <f t="shared" si="1"/>
        <v>#REF!</v>
      </c>
      <c r="F9" s="2" t="e">
        <f t="shared" si="2"/>
        <v>#REF!</v>
      </c>
      <c r="G9" s="1">
        <v>7</v>
      </c>
      <c r="H9" s="2" t="s">
        <v>47</v>
      </c>
      <c r="I9" s="2">
        <v>50</v>
      </c>
      <c r="J9" s="2">
        <v>100</v>
      </c>
      <c r="K9" s="2">
        <v>150</v>
      </c>
      <c r="L9" s="2">
        <v>200</v>
      </c>
      <c r="M9" s="2"/>
      <c r="N9" s="2"/>
      <c r="O9" s="2"/>
      <c r="P9" s="2">
        <v>400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3"/>
      <c r="AN9" s="3"/>
      <c r="AO9" s="3"/>
      <c r="AP9" s="3"/>
      <c r="AQ9" s="3"/>
    </row>
    <row r="10" spans="1:66" x14ac:dyDescent="0.3">
      <c r="C10" s="1">
        <v>8</v>
      </c>
      <c r="D10" s="2" t="e">
        <f t="shared" si="0"/>
        <v>#REF!</v>
      </c>
      <c r="E10" s="2" t="e">
        <f t="shared" si="1"/>
        <v>#REF!</v>
      </c>
      <c r="F10" s="2" t="e">
        <f t="shared" si="2"/>
        <v>#REF!</v>
      </c>
      <c r="G10" s="1">
        <v>8</v>
      </c>
      <c r="H10" s="2" t="s">
        <v>46</v>
      </c>
      <c r="I10" s="2">
        <v>50</v>
      </c>
      <c r="J10" s="2">
        <v>100</v>
      </c>
      <c r="K10" s="2">
        <v>150</v>
      </c>
      <c r="L10" s="2">
        <v>200</v>
      </c>
      <c r="M10" s="2">
        <v>250</v>
      </c>
      <c r="N10" s="2">
        <v>300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  <c r="AN10" s="3"/>
      <c r="AO10" s="3"/>
      <c r="AP10" s="3"/>
      <c r="AQ10" s="3"/>
    </row>
    <row r="11" spans="1:66" x14ac:dyDescent="0.3">
      <c r="C11" s="1">
        <v>9</v>
      </c>
      <c r="D11" s="2" t="e">
        <f t="shared" si="0"/>
        <v>#REF!</v>
      </c>
      <c r="E11" s="2" t="e">
        <f t="shared" si="1"/>
        <v>#REF!</v>
      </c>
      <c r="F11" s="2" t="e">
        <f t="shared" ref="F11:F48" si="3">IF(D11&lt;&gt;0,CONCATENATE(D11,"mm (",TEXT(CONVERT(D11,"mm","in"),"0.0"),"in)"),"")</f>
        <v>#REF!</v>
      </c>
      <c r="G11" s="1">
        <v>9</v>
      </c>
      <c r="H11" s="2" t="s">
        <v>151</v>
      </c>
      <c r="I11" s="2">
        <v>150</v>
      </c>
      <c r="J11" s="2">
        <f>I11+50</f>
        <v>200</v>
      </c>
      <c r="K11" s="2">
        <f t="shared" ref="K11:BN12" si="4">J11+50</f>
        <v>250</v>
      </c>
      <c r="L11" s="2">
        <f t="shared" si="4"/>
        <v>300</v>
      </c>
      <c r="M11" s="2">
        <f t="shared" si="4"/>
        <v>350</v>
      </c>
      <c r="N11" s="2">
        <f t="shared" si="4"/>
        <v>400</v>
      </c>
      <c r="O11" s="2">
        <f t="shared" si="4"/>
        <v>450</v>
      </c>
      <c r="P11" s="2">
        <f t="shared" si="4"/>
        <v>500</v>
      </c>
      <c r="Q11" s="2">
        <f t="shared" si="4"/>
        <v>550</v>
      </c>
      <c r="R11" s="2">
        <f t="shared" si="4"/>
        <v>600</v>
      </c>
      <c r="S11" s="2">
        <f t="shared" si="4"/>
        <v>650</v>
      </c>
      <c r="T11" s="2">
        <f t="shared" si="4"/>
        <v>700</v>
      </c>
      <c r="U11" s="2">
        <f t="shared" si="4"/>
        <v>750</v>
      </c>
      <c r="V11" s="2">
        <f t="shared" si="4"/>
        <v>800</v>
      </c>
      <c r="W11" s="2">
        <f t="shared" si="4"/>
        <v>850</v>
      </c>
      <c r="X11" s="2">
        <f t="shared" si="4"/>
        <v>900</v>
      </c>
      <c r="Y11" s="2">
        <f t="shared" si="4"/>
        <v>950</v>
      </c>
      <c r="Z11" s="2">
        <f t="shared" si="4"/>
        <v>1000</v>
      </c>
      <c r="AA11" s="2">
        <f t="shared" si="4"/>
        <v>1050</v>
      </c>
      <c r="AB11" s="2">
        <f t="shared" si="4"/>
        <v>1100</v>
      </c>
      <c r="AC11" s="2">
        <f t="shared" si="4"/>
        <v>1150</v>
      </c>
      <c r="AD11" s="2">
        <f t="shared" si="4"/>
        <v>1200</v>
      </c>
      <c r="AE11" s="2">
        <f t="shared" si="4"/>
        <v>1250</v>
      </c>
      <c r="AF11" s="2">
        <f t="shared" si="4"/>
        <v>1300</v>
      </c>
      <c r="AG11" s="2">
        <f t="shared" si="4"/>
        <v>1350</v>
      </c>
      <c r="AH11" s="2">
        <f t="shared" si="4"/>
        <v>1400</v>
      </c>
      <c r="AI11" s="2">
        <f t="shared" si="4"/>
        <v>1450</v>
      </c>
      <c r="AJ11" s="2">
        <f t="shared" si="4"/>
        <v>1500</v>
      </c>
      <c r="AK11" s="2">
        <f t="shared" si="4"/>
        <v>1550</v>
      </c>
      <c r="AL11" s="2">
        <f t="shared" si="4"/>
        <v>1600</v>
      </c>
      <c r="AM11" s="2">
        <f t="shared" si="4"/>
        <v>1650</v>
      </c>
      <c r="AN11" s="2">
        <f t="shared" si="4"/>
        <v>1700</v>
      </c>
      <c r="AO11" s="2">
        <f t="shared" si="4"/>
        <v>1750</v>
      </c>
      <c r="AP11" s="2">
        <f t="shared" si="4"/>
        <v>1800</v>
      </c>
      <c r="AQ11" s="2">
        <f t="shared" si="4"/>
        <v>1850</v>
      </c>
      <c r="AR11" s="2">
        <f t="shared" si="4"/>
        <v>1900</v>
      </c>
      <c r="AS11" s="2">
        <f t="shared" si="4"/>
        <v>1950</v>
      </c>
      <c r="AT11" s="2">
        <f t="shared" si="4"/>
        <v>2000</v>
      </c>
      <c r="AU11" s="2">
        <f t="shared" si="4"/>
        <v>2050</v>
      </c>
      <c r="AV11" s="2">
        <f t="shared" si="4"/>
        <v>2100</v>
      </c>
      <c r="AW11" s="2">
        <f t="shared" si="4"/>
        <v>2150</v>
      </c>
      <c r="AX11" s="2">
        <f t="shared" si="4"/>
        <v>2200</v>
      </c>
      <c r="AY11" s="2">
        <f t="shared" si="4"/>
        <v>2250</v>
      </c>
      <c r="AZ11" s="2">
        <f t="shared" si="4"/>
        <v>2300</v>
      </c>
      <c r="BA11" s="2">
        <f t="shared" si="4"/>
        <v>2350</v>
      </c>
      <c r="BB11" s="2">
        <f t="shared" si="4"/>
        <v>2400</v>
      </c>
      <c r="BC11" s="2">
        <f t="shared" si="4"/>
        <v>2450</v>
      </c>
      <c r="BD11" s="2">
        <f t="shared" si="4"/>
        <v>2500</v>
      </c>
      <c r="BE11" s="2">
        <f t="shared" si="4"/>
        <v>2550</v>
      </c>
      <c r="BF11" s="2">
        <f t="shared" si="4"/>
        <v>2600</v>
      </c>
      <c r="BG11" s="2">
        <f t="shared" si="4"/>
        <v>2650</v>
      </c>
      <c r="BH11" s="2">
        <f t="shared" si="4"/>
        <v>2700</v>
      </c>
      <c r="BI11" s="2">
        <f t="shared" si="4"/>
        <v>2750</v>
      </c>
      <c r="BJ11" s="2">
        <f t="shared" si="4"/>
        <v>2800</v>
      </c>
      <c r="BK11" s="2">
        <f t="shared" si="4"/>
        <v>2850</v>
      </c>
      <c r="BL11" s="2">
        <f t="shared" si="4"/>
        <v>2900</v>
      </c>
      <c r="BM11" s="2">
        <f t="shared" si="4"/>
        <v>2950</v>
      </c>
      <c r="BN11" s="2">
        <f t="shared" si="4"/>
        <v>3000</v>
      </c>
    </row>
    <row r="12" spans="1:66" x14ac:dyDescent="0.3">
      <c r="C12" s="1">
        <v>10</v>
      </c>
      <c r="D12" s="2" t="e">
        <f t="shared" si="0"/>
        <v>#REF!</v>
      </c>
      <c r="E12" s="2" t="e">
        <f t="shared" si="1"/>
        <v>#REF!</v>
      </c>
      <c r="F12" s="2" t="e">
        <f t="shared" si="3"/>
        <v>#REF!</v>
      </c>
      <c r="G12" s="1">
        <v>10</v>
      </c>
      <c r="H12" s="2" t="s">
        <v>153</v>
      </c>
      <c r="I12" s="2">
        <v>150</v>
      </c>
      <c r="J12" s="2">
        <f>I12+50</f>
        <v>200</v>
      </c>
      <c r="K12" s="2">
        <f t="shared" si="4"/>
        <v>250</v>
      </c>
      <c r="L12" s="2">
        <f t="shared" si="4"/>
        <v>300</v>
      </c>
      <c r="M12" s="2">
        <f t="shared" si="4"/>
        <v>350</v>
      </c>
      <c r="N12" s="2">
        <f t="shared" si="4"/>
        <v>400</v>
      </c>
      <c r="O12" s="2">
        <f t="shared" si="4"/>
        <v>450</v>
      </c>
      <c r="P12" s="2">
        <f t="shared" si="4"/>
        <v>500</v>
      </c>
      <c r="Q12" s="2">
        <f t="shared" si="4"/>
        <v>550</v>
      </c>
      <c r="R12" s="2">
        <f t="shared" si="4"/>
        <v>600</v>
      </c>
      <c r="S12" s="2">
        <f t="shared" si="4"/>
        <v>650</v>
      </c>
      <c r="T12" s="2">
        <f t="shared" si="4"/>
        <v>700</v>
      </c>
      <c r="U12" s="2">
        <f t="shared" si="4"/>
        <v>750</v>
      </c>
      <c r="V12" s="2">
        <f t="shared" si="4"/>
        <v>800</v>
      </c>
      <c r="W12" s="2">
        <f t="shared" si="4"/>
        <v>850</v>
      </c>
      <c r="X12" s="2">
        <f t="shared" si="4"/>
        <v>900</v>
      </c>
      <c r="Y12" s="2">
        <f t="shared" si="4"/>
        <v>950</v>
      </c>
      <c r="Z12" s="2">
        <f t="shared" si="4"/>
        <v>1000</v>
      </c>
      <c r="AA12" s="2">
        <f t="shared" si="4"/>
        <v>1050</v>
      </c>
      <c r="AB12" s="2">
        <f t="shared" si="4"/>
        <v>1100</v>
      </c>
      <c r="AC12" s="2">
        <f t="shared" si="4"/>
        <v>1150</v>
      </c>
      <c r="AD12" s="2">
        <f t="shared" si="4"/>
        <v>1200</v>
      </c>
      <c r="AE12" s="2">
        <f t="shared" si="4"/>
        <v>1250</v>
      </c>
      <c r="AF12" s="2">
        <f t="shared" si="4"/>
        <v>1300</v>
      </c>
      <c r="AG12" s="2">
        <f t="shared" si="4"/>
        <v>1350</v>
      </c>
      <c r="AH12" s="2">
        <f t="shared" si="4"/>
        <v>1400</v>
      </c>
      <c r="AI12" s="2">
        <f t="shared" si="4"/>
        <v>1450</v>
      </c>
      <c r="AJ12" s="2">
        <f t="shared" si="4"/>
        <v>1500</v>
      </c>
      <c r="AK12" s="2">
        <f t="shared" si="4"/>
        <v>1550</v>
      </c>
      <c r="AL12" s="2">
        <f t="shared" si="4"/>
        <v>1600</v>
      </c>
      <c r="AM12" s="2">
        <f t="shared" si="4"/>
        <v>1650</v>
      </c>
      <c r="AN12" s="2">
        <f t="shared" si="4"/>
        <v>1700</v>
      </c>
      <c r="AO12" s="2">
        <f t="shared" si="4"/>
        <v>1750</v>
      </c>
      <c r="AP12" s="2">
        <f t="shared" si="4"/>
        <v>1800</v>
      </c>
      <c r="AQ12" s="2">
        <f t="shared" si="4"/>
        <v>1850</v>
      </c>
      <c r="AR12" s="2">
        <f t="shared" si="4"/>
        <v>1900</v>
      </c>
      <c r="AS12" s="2">
        <f t="shared" si="4"/>
        <v>1950</v>
      </c>
      <c r="AT12" s="2">
        <f t="shared" si="4"/>
        <v>2000</v>
      </c>
      <c r="AU12" s="2">
        <f t="shared" si="4"/>
        <v>2050</v>
      </c>
      <c r="AV12" s="2">
        <f t="shared" si="4"/>
        <v>2100</v>
      </c>
      <c r="AW12" s="2">
        <f t="shared" si="4"/>
        <v>2150</v>
      </c>
      <c r="AX12" s="2">
        <f t="shared" si="4"/>
        <v>2200</v>
      </c>
      <c r="AY12" s="2">
        <f t="shared" si="4"/>
        <v>2250</v>
      </c>
      <c r="AZ12" s="2">
        <f t="shared" si="4"/>
        <v>2300</v>
      </c>
      <c r="BA12" s="2">
        <f t="shared" si="4"/>
        <v>2350</v>
      </c>
      <c r="BB12" s="2">
        <f t="shared" si="4"/>
        <v>2400</v>
      </c>
      <c r="BC12" s="2">
        <f t="shared" si="4"/>
        <v>2450</v>
      </c>
      <c r="BD12" s="2">
        <f t="shared" si="4"/>
        <v>2500</v>
      </c>
      <c r="BE12" s="2">
        <f t="shared" si="4"/>
        <v>2550</v>
      </c>
      <c r="BF12" s="2">
        <f t="shared" si="4"/>
        <v>2600</v>
      </c>
      <c r="BG12" s="2">
        <f t="shared" si="4"/>
        <v>2650</v>
      </c>
      <c r="BH12" s="2">
        <f t="shared" si="4"/>
        <v>2700</v>
      </c>
      <c r="BI12" s="2">
        <f t="shared" si="4"/>
        <v>2750</v>
      </c>
      <c r="BJ12" s="2">
        <f t="shared" si="4"/>
        <v>2800</v>
      </c>
      <c r="BK12" s="2">
        <f t="shared" si="4"/>
        <v>2850</v>
      </c>
      <c r="BL12" s="2">
        <f t="shared" si="4"/>
        <v>2900</v>
      </c>
      <c r="BM12" s="2">
        <f t="shared" si="4"/>
        <v>2950</v>
      </c>
      <c r="BN12" s="2">
        <f t="shared" si="4"/>
        <v>3000</v>
      </c>
    </row>
    <row r="13" spans="1:66" x14ac:dyDescent="0.3">
      <c r="C13" s="1">
        <v>11</v>
      </c>
      <c r="D13" s="2" t="e">
        <f t="shared" si="0"/>
        <v>#REF!</v>
      </c>
      <c r="E13" s="2" t="e">
        <f t="shared" si="1"/>
        <v>#REF!</v>
      </c>
      <c r="F13" s="2" t="e">
        <f t="shared" si="3"/>
        <v>#REF!</v>
      </c>
      <c r="G13" s="1">
        <v>11</v>
      </c>
    </row>
    <row r="14" spans="1:66" x14ac:dyDescent="0.3">
      <c r="C14" s="1">
        <v>12</v>
      </c>
      <c r="D14" s="2" t="e">
        <f t="shared" si="0"/>
        <v>#REF!</v>
      </c>
      <c r="E14" s="2" t="e">
        <f t="shared" si="1"/>
        <v>#REF!</v>
      </c>
      <c r="F14" s="2" t="e">
        <f t="shared" si="3"/>
        <v>#REF!</v>
      </c>
      <c r="G14" s="1">
        <v>12</v>
      </c>
    </row>
    <row r="15" spans="1:66" x14ac:dyDescent="0.3">
      <c r="C15" s="1">
        <v>13</v>
      </c>
      <c r="D15" s="2" t="e">
        <f t="shared" si="0"/>
        <v>#REF!</v>
      </c>
      <c r="E15" s="2" t="e">
        <f t="shared" si="1"/>
        <v>#REF!</v>
      </c>
      <c r="F15" s="2" t="e">
        <f t="shared" si="3"/>
        <v>#REF!</v>
      </c>
      <c r="G15" s="1">
        <v>13</v>
      </c>
    </row>
    <row r="16" spans="1:66" x14ac:dyDescent="0.3">
      <c r="C16" s="1">
        <v>14</v>
      </c>
      <c r="D16" s="2" t="e">
        <f t="shared" si="0"/>
        <v>#REF!</v>
      </c>
      <c r="E16" s="2" t="e">
        <f t="shared" si="1"/>
        <v>#REF!</v>
      </c>
      <c r="F16" s="2" t="e">
        <f t="shared" si="3"/>
        <v>#REF!</v>
      </c>
      <c r="G16" s="1">
        <v>14</v>
      </c>
    </row>
    <row r="17" spans="3:7" x14ac:dyDescent="0.3">
      <c r="C17" s="1">
        <v>15</v>
      </c>
      <c r="D17" s="2" t="e">
        <f t="shared" si="0"/>
        <v>#REF!</v>
      </c>
      <c r="E17" s="2" t="e">
        <f t="shared" si="1"/>
        <v>#REF!</v>
      </c>
      <c r="F17" s="2" t="e">
        <f t="shared" si="3"/>
        <v>#REF!</v>
      </c>
      <c r="G17" s="1">
        <v>15</v>
      </c>
    </row>
    <row r="18" spans="3:7" x14ac:dyDescent="0.3">
      <c r="C18" s="1">
        <v>16</v>
      </c>
      <c r="D18" s="2" t="e">
        <f t="shared" si="0"/>
        <v>#REF!</v>
      </c>
      <c r="E18" s="2" t="e">
        <f t="shared" si="1"/>
        <v>#REF!</v>
      </c>
      <c r="F18" s="2" t="e">
        <f t="shared" si="3"/>
        <v>#REF!</v>
      </c>
      <c r="G18" s="1">
        <v>16</v>
      </c>
    </row>
    <row r="19" spans="3:7" x14ac:dyDescent="0.3">
      <c r="C19" s="1">
        <v>17</v>
      </c>
      <c r="D19" s="2" t="e">
        <f t="shared" si="0"/>
        <v>#REF!</v>
      </c>
      <c r="E19" s="2" t="e">
        <f t="shared" si="1"/>
        <v>#REF!</v>
      </c>
      <c r="F19" s="2" t="e">
        <f t="shared" si="3"/>
        <v>#REF!</v>
      </c>
      <c r="G19" s="1">
        <v>17</v>
      </c>
    </row>
    <row r="20" spans="3:7" x14ac:dyDescent="0.3">
      <c r="C20" s="1">
        <v>18</v>
      </c>
      <c r="D20" s="2" t="e">
        <f t="shared" si="0"/>
        <v>#REF!</v>
      </c>
      <c r="E20" s="2" t="e">
        <f t="shared" si="1"/>
        <v>#REF!</v>
      </c>
      <c r="F20" s="2" t="e">
        <f t="shared" si="3"/>
        <v>#REF!</v>
      </c>
      <c r="G20" s="1">
        <v>18</v>
      </c>
    </row>
    <row r="21" spans="3:7" x14ac:dyDescent="0.3">
      <c r="C21" s="1">
        <v>19</v>
      </c>
      <c r="D21" s="2" t="e">
        <f t="shared" si="0"/>
        <v>#REF!</v>
      </c>
      <c r="E21" s="2" t="e">
        <f t="shared" si="1"/>
        <v>#REF!</v>
      </c>
      <c r="F21" s="2" t="e">
        <f t="shared" si="3"/>
        <v>#REF!</v>
      </c>
      <c r="G21" s="1">
        <v>19</v>
      </c>
    </row>
    <row r="22" spans="3:7" x14ac:dyDescent="0.3">
      <c r="C22" s="1">
        <v>20</v>
      </c>
      <c r="D22" s="2" t="e">
        <f t="shared" si="0"/>
        <v>#REF!</v>
      </c>
      <c r="E22" s="2" t="e">
        <f t="shared" si="1"/>
        <v>#REF!</v>
      </c>
      <c r="F22" s="2" t="e">
        <f t="shared" si="3"/>
        <v>#REF!</v>
      </c>
      <c r="G22" s="1">
        <v>20</v>
      </c>
    </row>
    <row r="23" spans="3:7" x14ac:dyDescent="0.3">
      <c r="C23" s="1">
        <v>21</v>
      </c>
      <c r="D23" s="2" t="e">
        <f t="shared" si="0"/>
        <v>#REF!</v>
      </c>
      <c r="E23" s="2" t="e">
        <f t="shared" si="1"/>
        <v>#REF!</v>
      </c>
      <c r="F23" s="2" t="e">
        <f t="shared" si="3"/>
        <v>#REF!</v>
      </c>
      <c r="G23" s="1">
        <v>21</v>
      </c>
    </row>
    <row r="24" spans="3:7" x14ac:dyDescent="0.3">
      <c r="C24" s="1">
        <v>22</v>
      </c>
      <c r="D24" s="2" t="e">
        <f t="shared" si="0"/>
        <v>#REF!</v>
      </c>
      <c r="E24" s="2" t="e">
        <f t="shared" si="1"/>
        <v>#REF!</v>
      </c>
      <c r="F24" s="2" t="e">
        <f t="shared" si="3"/>
        <v>#REF!</v>
      </c>
      <c r="G24" s="1">
        <v>22</v>
      </c>
    </row>
    <row r="25" spans="3:7" x14ac:dyDescent="0.3">
      <c r="C25" s="1">
        <v>23</v>
      </c>
      <c r="D25" s="2" t="e">
        <f t="shared" si="0"/>
        <v>#REF!</v>
      </c>
      <c r="E25" s="2" t="e">
        <f t="shared" si="1"/>
        <v>#REF!</v>
      </c>
      <c r="F25" s="2" t="e">
        <f t="shared" si="3"/>
        <v>#REF!</v>
      </c>
      <c r="G25" s="1">
        <v>23</v>
      </c>
    </row>
    <row r="26" spans="3:7" x14ac:dyDescent="0.3">
      <c r="C26" s="1">
        <v>24</v>
      </c>
      <c r="D26" s="2" t="e">
        <f t="shared" si="0"/>
        <v>#REF!</v>
      </c>
      <c r="E26" s="2" t="e">
        <f t="shared" si="1"/>
        <v>#REF!</v>
      </c>
      <c r="F26" s="2" t="e">
        <f t="shared" si="3"/>
        <v>#REF!</v>
      </c>
      <c r="G26" s="1">
        <v>24</v>
      </c>
    </row>
    <row r="27" spans="3:7" x14ac:dyDescent="0.3">
      <c r="C27" s="1">
        <v>25</v>
      </c>
      <c r="D27" s="2" t="e">
        <f t="shared" si="0"/>
        <v>#REF!</v>
      </c>
      <c r="E27" s="2" t="e">
        <f t="shared" si="1"/>
        <v>#REF!</v>
      </c>
      <c r="F27" s="2" t="e">
        <f t="shared" si="3"/>
        <v>#REF!</v>
      </c>
      <c r="G27" s="1">
        <v>25</v>
      </c>
    </row>
    <row r="28" spans="3:7" x14ac:dyDescent="0.3">
      <c r="C28" s="1">
        <v>26</v>
      </c>
      <c r="D28" s="2" t="e">
        <f t="shared" si="0"/>
        <v>#REF!</v>
      </c>
      <c r="E28" s="2" t="e">
        <f t="shared" si="1"/>
        <v>#REF!</v>
      </c>
      <c r="F28" s="2" t="e">
        <f t="shared" si="3"/>
        <v>#REF!</v>
      </c>
      <c r="G28" s="1">
        <v>26</v>
      </c>
    </row>
    <row r="29" spans="3:7" x14ac:dyDescent="0.3">
      <c r="C29" s="1">
        <v>27</v>
      </c>
      <c r="D29" s="2" t="e">
        <f t="shared" si="0"/>
        <v>#REF!</v>
      </c>
      <c r="E29" s="2" t="e">
        <f t="shared" si="1"/>
        <v>#REF!</v>
      </c>
      <c r="F29" s="2" t="e">
        <f t="shared" si="3"/>
        <v>#REF!</v>
      </c>
      <c r="G29" s="1">
        <v>27</v>
      </c>
    </row>
    <row r="30" spans="3:7" x14ac:dyDescent="0.3">
      <c r="C30" s="1">
        <v>28</v>
      </c>
      <c r="D30" s="2" t="e">
        <f t="shared" si="0"/>
        <v>#REF!</v>
      </c>
      <c r="E30" s="2" t="e">
        <f t="shared" si="1"/>
        <v>#REF!</v>
      </c>
      <c r="F30" s="2" t="e">
        <f t="shared" si="3"/>
        <v>#REF!</v>
      </c>
      <c r="G30" s="1">
        <v>28</v>
      </c>
    </row>
    <row r="31" spans="3:7" x14ac:dyDescent="0.3">
      <c r="C31" s="1">
        <v>29</v>
      </c>
      <c r="D31" s="2" t="e">
        <f t="shared" si="0"/>
        <v>#REF!</v>
      </c>
      <c r="E31" s="2" t="e">
        <f t="shared" si="1"/>
        <v>#REF!</v>
      </c>
      <c r="F31" s="2" t="e">
        <f t="shared" si="3"/>
        <v>#REF!</v>
      </c>
      <c r="G31" s="1">
        <v>29</v>
      </c>
    </row>
    <row r="32" spans="3:7" x14ac:dyDescent="0.3">
      <c r="C32" s="1">
        <v>30</v>
      </c>
      <c r="D32" s="2" t="e">
        <f t="shared" si="0"/>
        <v>#REF!</v>
      </c>
      <c r="E32" s="2" t="e">
        <f t="shared" si="1"/>
        <v>#REF!</v>
      </c>
      <c r="F32" s="2" t="e">
        <f t="shared" si="3"/>
        <v>#REF!</v>
      </c>
      <c r="G32" s="1">
        <v>30</v>
      </c>
    </row>
    <row r="33" spans="3:7" x14ac:dyDescent="0.3">
      <c r="C33" s="1">
        <v>31</v>
      </c>
      <c r="D33" s="2" t="e">
        <f t="shared" si="0"/>
        <v>#REF!</v>
      </c>
      <c r="E33" s="2" t="e">
        <f t="shared" si="1"/>
        <v>#REF!</v>
      </c>
      <c r="F33" s="2" t="e">
        <f t="shared" si="3"/>
        <v>#REF!</v>
      </c>
      <c r="G33" s="1">
        <v>31</v>
      </c>
    </row>
    <row r="34" spans="3:7" x14ac:dyDescent="0.3">
      <c r="C34" s="1">
        <v>32</v>
      </c>
      <c r="D34" s="2" t="e">
        <f t="shared" si="0"/>
        <v>#REF!</v>
      </c>
      <c r="E34" s="2" t="e">
        <f t="shared" si="1"/>
        <v>#REF!</v>
      </c>
      <c r="F34" s="2" t="e">
        <f t="shared" si="3"/>
        <v>#REF!</v>
      </c>
      <c r="G34" s="1">
        <v>32</v>
      </c>
    </row>
    <row r="35" spans="3:7" x14ac:dyDescent="0.3">
      <c r="C35" s="1">
        <v>33</v>
      </c>
      <c r="D35" s="2" t="e">
        <f t="shared" si="0"/>
        <v>#REF!</v>
      </c>
      <c r="E35" s="2" t="e">
        <f t="shared" si="1"/>
        <v>#REF!</v>
      </c>
      <c r="F35" s="2" t="e">
        <f t="shared" si="3"/>
        <v>#REF!</v>
      </c>
      <c r="G35" s="1">
        <v>33</v>
      </c>
    </row>
    <row r="36" spans="3:7" x14ac:dyDescent="0.3">
      <c r="C36" s="1">
        <v>34</v>
      </c>
      <c r="D36" s="2" t="e">
        <f t="shared" si="0"/>
        <v>#REF!</v>
      </c>
      <c r="E36" s="2" t="e">
        <f t="shared" si="1"/>
        <v>#REF!</v>
      </c>
      <c r="F36" s="2" t="e">
        <f t="shared" si="3"/>
        <v>#REF!</v>
      </c>
      <c r="G36" s="1">
        <v>34</v>
      </c>
    </row>
    <row r="37" spans="3:7" x14ac:dyDescent="0.3">
      <c r="C37" s="1">
        <v>35</v>
      </c>
      <c r="D37" s="2" t="e">
        <f t="shared" si="0"/>
        <v>#REF!</v>
      </c>
      <c r="E37" s="2" t="e">
        <f t="shared" si="1"/>
        <v>#REF!</v>
      </c>
      <c r="F37" s="2" t="e">
        <f t="shared" si="3"/>
        <v>#REF!</v>
      </c>
      <c r="G37" s="1">
        <v>35</v>
      </c>
    </row>
    <row r="38" spans="3:7" x14ac:dyDescent="0.3">
      <c r="C38" s="1">
        <v>36</v>
      </c>
      <c r="D38" s="2" t="e">
        <f t="shared" si="0"/>
        <v>#REF!</v>
      </c>
      <c r="E38" s="2" t="e">
        <f t="shared" si="1"/>
        <v>#REF!</v>
      </c>
      <c r="F38" s="2" t="e">
        <f t="shared" si="3"/>
        <v>#REF!</v>
      </c>
      <c r="G38" s="1">
        <v>36</v>
      </c>
    </row>
    <row r="39" spans="3:7" x14ac:dyDescent="0.3">
      <c r="C39" s="1">
        <v>37</v>
      </c>
      <c r="D39" s="2" t="e">
        <f t="shared" si="0"/>
        <v>#REF!</v>
      </c>
      <c r="E39" s="2" t="e">
        <f t="shared" si="1"/>
        <v>#REF!</v>
      </c>
      <c r="F39" s="2" t="e">
        <f t="shared" si="3"/>
        <v>#REF!</v>
      </c>
      <c r="G39" s="1">
        <v>37</v>
      </c>
    </row>
    <row r="40" spans="3:7" x14ac:dyDescent="0.3">
      <c r="C40" s="1">
        <v>38</v>
      </c>
      <c r="D40" s="2" t="e">
        <f t="shared" si="0"/>
        <v>#REF!</v>
      </c>
      <c r="E40" s="2" t="e">
        <f t="shared" si="1"/>
        <v>#REF!</v>
      </c>
      <c r="F40" s="2" t="e">
        <f t="shared" si="3"/>
        <v>#REF!</v>
      </c>
      <c r="G40" s="1">
        <v>38</v>
      </c>
    </row>
    <row r="41" spans="3:7" x14ac:dyDescent="0.3">
      <c r="C41" s="1">
        <v>39</v>
      </c>
      <c r="D41" s="2" t="e">
        <f t="shared" si="0"/>
        <v>#REF!</v>
      </c>
      <c r="E41" s="2" t="e">
        <f t="shared" si="1"/>
        <v>#REF!</v>
      </c>
      <c r="F41" s="2" t="e">
        <f t="shared" si="3"/>
        <v>#REF!</v>
      </c>
      <c r="G41" s="1">
        <v>39</v>
      </c>
    </row>
    <row r="42" spans="3:7" x14ac:dyDescent="0.3">
      <c r="C42" s="1">
        <v>40</v>
      </c>
      <c r="D42" s="2" t="e">
        <f t="shared" si="0"/>
        <v>#REF!</v>
      </c>
      <c r="E42" s="2" t="e">
        <f t="shared" si="1"/>
        <v>#REF!</v>
      </c>
      <c r="F42" s="2" t="e">
        <f t="shared" si="3"/>
        <v>#REF!</v>
      </c>
      <c r="G42" s="1">
        <v>40</v>
      </c>
    </row>
    <row r="43" spans="3:7" x14ac:dyDescent="0.3">
      <c r="C43" s="1">
        <v>41</v>
      </c>
      <c r="D43" s="2" t="e">
        <f t="shared" si="0"/>
        <v>#REF!</v>
      </c>
      <c r="E43" s="2" t="e">
        <f t="shared" si="1"/>
        <v>#REF!</v>
      </c>
      <c r="F43" s="2" t="e">
        <f t="shared" si="3"/>
        <v>#REF!</v>
      </c>
      <c r="G43" s="1">
        <v>41</v>
      </c>
    </row>
    <row r="44" spans="3:7" x14ac:dyDescent="0.3">
      <c r="C44" s="1">
        <v>42</v>
      </c>
      <c r="D44" s="2" t="e">
        <f t="shared" si="0"/>
        <v>#REF!</v>
      </c>
      <c r="E44" s="2" t="e">
        <f t="shared" si="1"/>
        <v>#REF!</v>
      </c>
      <c r="F44" s="2" t="e">
        <f t="shared" si="3"/>
        <v>#REF!</v>
      </c>
      <c r="G44" s="1">
        <v>42</v>
      </c>
    </row>
    <row r="45" spans="3:7" x14ac:dyDescent="0.3">
      <c r="C45" s="1">
        <v>43</v>
      </c>
      <c r="D45" s="2" t="e">
        <f t="shared" si="0"/>
        <v>#REF!</v>
      </c>
      <c r="E45" s="2" t="e">
        <f t="shared" si="1"/>
        <v>#REF!</v>
      </c>
      <c r="F45" s="2" t="e">
        <f t="shared" si="3"/>
        <v>#REF!</v>
      </c>
      <c r="G45" s="1">
        <v>43</v>
      </c>
    </row>
    <row r="46" spans="3:7" x14ac:dyDescent="0.3">
      <c r="C46" s="1">
        <v>44</v>
      </c>
      <c r="D46" s="2" t="e">
        <f t="shared" si="0"/>
        <v>#REF!</v>
      </c>
      <c r="E46" s="2" t="e">
        <f t="shared" si="1"/>
        <v>#REF!</v>
      </c>
      <c r="F46" s="2" t="e">
        <f t="shared" si="3"/>
        <v>#REF!</v>
      </c>
      <c r="G46" s="1">
        <v>44</v>
      </c>
    </row>
    <row r="47" spans="3:7" x14ac:dyDescent="0.3">
      <c r="C47" s="1">
        <v>45</v>
      </c>
      <c r="D47" s="2" t="e">
        <f t="shared" si="0"/>
        <v>#REF!</v>
      </c>
      <c r="E47" s="2" t="e">
        <f t="shared" si="1"/>
        <v>#REF!</v>
      </c>
      <c r="F47" s="2" t="e">
        <f t="shared" si="3"/>
        <v>#REF!</v>
      </c>
      <c r="G47" s="1">
        <v>45</v>
      </c>
    </row>
    <row r="48" spans="3:7" x14ac:dyDescent="0.3">
      <c r="C48" s="1">
        <v>46</v>
      </c>
      <c r="D48" s="2" t="e">
        <f t="shared" si="0"/>
        <v>#REF!</v>
      </c>
      <c r="E48" s="2" t="e">
        <f t="shared" si="1"/>
        <v>#REF!</v>
      </c>
      <c r="F48" s="2" t="e">
        <f t="shared" si="3"/>
        <v>#REF!</v>
      </c>
      <c r="G48" s="1">
        <v>46</v>
      </c>
    </row>
    <row r="49" spans="3:7" x14ac:dyDescent="0.3">
      <c r="C49" s="1">
        <v>47</v>
      </c>
      <c r="D49" s="2" t="e">
        <f t="shared" si="0"/>
        <v>#REF!</v>
      </c>
      <c r="E49" s="2" t="e">
        <f t="shared" si="1"/>
        <v>#REF!</v>
      </c>
      <c r="F49" s="2" t="e">
        <f t="shared" ref="F49:F112" si="5">IF(D49&lt;&gt;0,CONCATENATE(D49,"mm (",TEXT(CONVERT(D49,"mm","in"),"0.0"),"in)"),"")</f>
        <v>#REF!</v>
      </c>
      <c r="G49" s="1">
        <v>47</v>
      </c>
    </row>
    <row r="50" spans="3:7" x14ac:dyDescent="0.3">
      <c r="C50" s="1">
        <v>48</v>
      </c>
      <c r="D50" s="2" t="e">
        <f t="shared" si="0"/>
        <v>#REF!</v>
      </c>
      <c r="E50" s="2" t="e">
        <f t="shared" si="1"/>
        <v>#REF!</v>
      </c>
      <c r="F50" s="2" t="e">
        <f t="shared" si="5"/>
        <v>#REF!</v>
      </c>
      <c r="G50" s="1">
        <v>48</v>
      </c>
    </row>
    <row r="51" spans="3:7" x14ac:dyDescent="0.3">
      <c r="C51" s="1">
        <v>49</v>
      </c>
      <c r="D51" s="2" t="e">
        <f t="shared" si="0"/>
        <v>#REF!</v>
      </c>
      <c r="E51" s="2" t="e">
        <f t="shared" si="1"/>
        <v>#REF!</v>
      </c>
      <c r="F51" s="2" t="e">
        <f t="shared" si="5"/>
        <v>#REF!</v>
      </c>
      <c r="G51" s="1">
        <v>49</v>
      </c>
    </row>
    <row r="52" spans="3:7" x14ac:dyDescent="0.3">
      <c r="C52" s="1">
        <v>50</v>
      </c>
      <c r="D52" s="2" t="e">
        <f t="shared" si="0"/>
        <v>#REF!</v>
      </c>
      <c r="E52" s="2" t="e">
        <f t="shared" si="1"/>
        <v>#REF!</v>
      </c>
      <c r="F52" s="2" t="e">
        <f t="shared" si="5"/>
        <v>#REF!</v>
      </c>
      <c r="G52" s="1">
        <v>50</v>
      </c>
    </row>
    <row r="53" spans="3:7" x14ac:dyDescent="0.3">
      <c r="C53" s="1">
        <v>51</v>
      </c>
      <c r="D53" s="2" t="e">
        <f t="shared" si="0"/>
        <v>#REF!</v>
      </c>
      <c r="E53" s="2" t="e">
        <f t="shared" si="1"/>
        <v>#REF!</v>
      </c>
      <c r="F53" s="2" t="e">
        <f t="shared" si="5"/>
        <v>#REF!</v>
      </c>
      <c r="G53" s="1">
        <v>51</v>
      </c>
    </row>
    <row r="54" spans="3:7" x14ac:dyDescent="0.3">
      <c r="C54" s="1">
        <v>52</v>
      </c>
      <c r="D54" s="2" t="e">
        <f t="shared" si="0"/>
        <v>#REF!</v>
      </c>
      <c r="E54" s="2" t="e">
        <f t="shared" si="1"/>
        <v>#REF!</v>
      </c>
      <c r="F54" s="2" t="e">
        <f t="shared" si="5"/>
        <v>#REF!</v>
      </c>
      <c r="G54" s="1">
        <v>52</v>
      </c>
    </row>
    <row r="55" spans="3:7" x14ac:dyDescent="0.3">
      <c r="C55" s="1">
        <v>53</v>
      </c>
      <c r="D55" s="2" t="e">
        <f t="shared" si="0"/>
        <v>#REF!</v>
      </c>
      <c r="E55" s="2" t="e">
        <f t="shared" si="1"/>
        <v>#REF!</v>
      </c>
      <c r="F55" s="2" t="e">
        <f t="shared" si="5"/>
        <v>#REF!</v>
      </c>
      <c r="G55" s="1">
        <v>53</v>
      </c>
    </row>
    <row r="56" spans="3:7" x14ac:dyDescent="0.3">
      <c r="C56" s="1">
        <v>54</v>
      </c>
      <c r="D56" s="2" t="e">
        <f t="shared" si="0"/>
        <v>#REF!</v>
      </c>
      <c r="E56" s="2" t="e">
        <f t="shared" si="1"/>
        <v>#REF!</v>
      </c>
      <c r="F56" s="2" t="e">
        <f t="shared" si="5"/>
        <v>#REF!</v>
      </c>
      <c r="G56" s="1">
        <v>54</v>
      </c>
    </row>
    <row r="57" spans="3:7" x14ac:dyDescent="0.3">
      <c r="C57" s="1">
        <v>55</v>
      </c>
      <c r="D57" s="2" t="e">
        <f t="shared" si="0"/>
        <v>#REF!</v>
      </c>
      <c r="E57" s="2" t="e">
        <f t="shared" si="1"/>
        <v>#REF!</v>
      </c>
      <c r="F57" s="2" t="e">
        <f t="shared" si="5"/>
        <v>#REF!</v>
      </c>
      <c r="G57" s="1">
        <v>55</v>
      </c>
    </row>
    <row r="58" spans="3:7" x14ac:dyDescent="0.3">
      <c r="C58" s="1">
        <v>56</v>
      </c>
      <c r="D58" s="2" t="e">
        <f t="shared" si="0"/>
        <v>#REF!</v>
      </c>
      <c r="E58" s="2" t="e">
        <f t="shared" si="1"/>
        <v>#REF!</v>
      </c>
      <c r="F58" s="2" t="e">
        <f t="shared" si="5"/>
        <v>#REF!</v>
      </c>
      <c r="G58" s="1">
        <v>56</v>
      </c>
    </row>
    <row r="59" spans="3:7" x14ac:dyDescent="0.3">
      <c r="C59" s="1">
        <v>57</v>
      </c>
      <c r="D59" s="2" t="e">
        <f t="shared" si="0"/>
        <v>#REF!</v>
      </c>
      <c r="E59" s="2" t="e">
        <f t="shared" si="1"/>
        <v>#REF!</v>
      </c>
      <c r="F59" s="2" t="e">
        <f t="shared" si="5"/>
        <v>#REF!</v>
      </c>
      <c r="G59" s="1">
        <v>57</v>
      </c>
    </row>
    <row r="60" spans="3:7" x14ac:dyDescent="0.3">
      <c r="C60" s="1">
        <v>58</v>
      </c>
      <c r="D60" s="2" t="e">
        <f t="shared" si="0"/>
        <v>#REF!</v>
      </c>
      <c r="E60" s="2" t="e">
        <f t="shared" si="1"/>
        <v>#REF!</v>
      </c>
      <c r="F60" s="2" t="e">
        <f t="shared" si="5"/>
        <v>#REF!</v>
      </c>
      <c r="G60" s="1">
        <v>58</v>
      </c>
    </row>
    <row r="61" spans="3:7" x14ac:dyDescent="0.3">
      <c r="C61" s="1">
        <v>59</v>
      </c>
      <c r="D61" s="2" t="e">
        <f t="shared" si="0"/>
        <v>#REF!</v>
      </c>
      <c r="E61" s="2" t="e">
        <f t="shared" si="1"/>
        <v>#REF!</v>
      </c>
      <c r="F61" s="2" t="e">
        <f t="shared" si="5"/>
        <v>#REF!</v>
      </c>
      <c r="G61" s="1">
        <v>59</v>
      </c>
    </row>
    <row r="62" spans="3:7" x14ac:dyDescent="0.3">
      <c r="C62" s="1">
        <v>60</v>
      </c>
      <c r="D62" s="2" t="e">
        <f t="shared" si="0"/>
        <v>#REF!</v>
      </c>
      <c r="E62" s="2" t="e">
        <f t="shared" si="1"/>
        <v>#REF!</v>
      </c>
      <c r="F62" s="2" t="e">
        <f t="shared" si="5"/>
        <v>#REF!</v>
      </c>
      <c r="G62" s="1">
        <v>60</v>
      </c>
    </row>
    <row r="63" spans="3:7" x14ac:dyDescent="0.3">
      <c r="C63" s="1">
        <v>61</v>
      </c>
      <c r="D63" s="2" t="e">
        <f t="shared" si="0"/>
        <v>#REF!</v>
      </c>
      <c r="E63" s="2" t="e">
        <f t="shared" si="1"/>
        <v>#REF!</v>
      </c>
      <c r="F63" s="2" t="e">
        <f t="shared" si="5"/>
        <v>#REF!</v>
      </c>
      <c r="G63" s="1">
        <v>61</v>
      </c>
    </row>
    <row r="64" spans="3:7" x14ac:dyDescent="0.3">
      <c r="C64" s="1">
        <v>62</v>
      </c>
      <c r="D64" s="2" t="e">
        <f t="shared" si="0"/>
        <v>#REF!</v>
      </c>
      <c r="E64" s="2" t="e">
        <f t="shared" si="1"/>
        <v>#REF!</v>
      </c>
      <c r="F64" s="2" t="e">
        <f t="shared" si="5"/>
        <v>#REF!</v>
      </c>
      <c r="G64" s="1">
        <v>62</v>
      </c>
    </row>
    <row r="65" spans="3:7" x14ac:dyDescent="0.3">
      <c r="C65" s="1">
        <v>63</v>
      </c>
      <c r="D65" s="2" t="e">
        <f t="shared" si="0"/>
        <v>#REF!</v>
      </c>
      <c r="E65" s="2" t="e">
        <f t="shared" si="1"/>
        <v>#REF!</v>
      </c>
      <c r="F65" s="2" t="e">
        <f t="shared" si="5"/>
        <v>#REF!</v>
      </c>
      <c r="G65" s="1">
        <v>63</v>
      </c>
    </row>
    <row r="66" spans="3:7" x14ac:dyDescent="0.3">
      <c r="C66" s="1">
        <v>64</v>
      </c>
      <c r="D66" s="2" t="e">
        <f t="shared" si="0"/>
        <v>#REF!</v>
      </c>
      <c r="E66" s="2" t="e">
        <f t="shared" si="1"/>
        <v>#REF!</v>
      </c>
      <c r="F66" s="2" t="e">
        <f t="shared" si="5"/>
        <v>#REF!</v>
      </c>
      <c r="G66" s="1">
        <v>64</v>
      </c>
    </row>
    <row r="67" spans="3:7" x14ac:dyDescent="0.3">
      <c r="C67" s="1">
        <v>65</v>
      </c>
      <c r="D67" s="2" t="e">
        <f t="shared" si="0"/>
        <v>#REF!</v>
      </c>
      <c r="E67" s="2" t="e">
        <f t="shared" si="1"/>
        <v>#REF!</v>
      </c>
      <c r="F67" s="2" t="e">
        <f t="shared" si="5"/>
        <v>#REF!</v>
      </c>
      <c r="G67" s="1">
        <v>65</v>
      </c>
    </row>
    <row r="68" spans="3:7" x14ac:dyDescent="0.3">
      <c r="C68" s="1">
        <v>66</v>
      </c>
      <c r="D68" s="2" t="e">
        <f t="shared" si="0"/>
        <v>#REF!</v>
      </c>
      <c r="E68" s="2" t="e">
        <f t="shared" si="1"/>
        <v>#REF!</v>
      </c>
      <c r="F68" s="2" t="e">
        <f t="shared" si="5"/>
        <v>#REF!</v>
      </c>
      <c r="G68" s="1">
        <v>66</v>
      </c>
    </row>
    <row r="69" spans="3:7" x14ac:dyDescent="0.3">
      <c r="C69" s="1">
        <v>67</v>
      </c>
      <c r="D69" s="2" t="e">
        <f t="shared" ref="D69:D132" si="6">IF(E69&lt;&gt;0,E69,"")</f>
        <v>#REF!</v>
      </c>
      <c r="E69" s="2" t="e">
        <f t="shared" ref="E69:E132" si="7">VLOOKUP($H$2,$H$3:$DB$12,$C69,FALSE)</f>
        <v>#REF!</v>
      </c>
      <c r="F69" s="2" t="e">
        <f t="shared" si="5"/>
        <v>#REF!</v>
      </c>
      <c r="G69" s="1">
        <v>67</v>
      </c>
    </row>
    <row r="70" spans="3:7" x14ac:dyDescent="0.3">
      <c r="C70" s="1">
        <v>68</v>
      </c>
      <c r="D70" s="2" t="e">
        <f t="shared" si="6"/>
        <v>#REF!</v>
      </c>
      <c r="E70" s="2" t="e">
        <f t="shared" si="7"/>
        <v>#REF!</v>
      </c>
      <c r="F70" s="2" t="e">
        <f t="shared" si="5"/>
        <v>#REF!</v>
      </c>
      <c r="G70" s="1">
        <v>68</v>
      </c>
    </row>
    <row r="71" spans="3:7" x14ac:dyDescent="0.3">
      <c r="C71" s="1">
        <v>69</v>
      </c>
      <c r="D71" s="2" t="e">
        <f t="shared" si="6"/>
        <v>#REF!</v>
      </c>
      <c r="E71" s="2" t="e">
        <f t="shared" si="7"/>
        <v>#REF!</v>
      </c>
      <c r="F71" s="2" t="e">
        <f t="shared" si="5"/>
        <v>#REF!</v>
      </c>
      <c r="G71" s="1">
        <v>69</v>
      </c>
    </row>
    <row r="72" spans="3:7" x14ac:dyDescent="0.3">
      <c r="C72" s="1">
        <v>70</v>
      </c>
      <c r="D72" s="2" t="e">
        <f t="shared" si="6"/>
        <v>#REF!</v>
      </c>
      <c r="E72" s="2" t="e">
        <f t="shared" si="7"/>
        <v>#REF!</v>
      </c>
      <c r="F72" s="2" t="e">
        <f t="shared" si="5"/>
        <v>#REF!</v>
      </c>
      <c r="G72" s="1">
        <v>70</v>
      </c>
    </row>
    <row r="73" spans="3:7" x14ac:dyDescent="0.3">
      <c r="C73" s="1">
        <v>71</v>
      </c>
      <c r="D73" s="2" t="e">
        <f t="shared" si="6"/>
        <v>#REF!</v>
      </c>
      <c r="E73" s="2" t="e">
        <f t="shared" si="7"/>
        <v>#REF!</v>
      </c>
      <c r="F73" s="2" t="e">
        <f t="shared" si="5"/>
        <v>#REF!</v>
      </c>
      <c r="G73" s="1">
        <v>71</v>
      </c>
    </row>
    <row r="74" spans="3:7" x14ac:dyDescent="0.3">
      <c r="C74" s="1">
        <v>72</v>
      </c>
      <c r="D74" s="2" t="e">
        <f t="shared" si="6"/>
        <v>#REF!</v>
      </c>
      <c r="E74" s="2" t="e">
        <f t="shared" si="7"/>
        <v>#REF!</v>
      </c>
      <c r="F74" s="2" t="e">
        <f t="shared" si="5"/>
        <v>#REF!</v>
      </c>
      <c r="G74" s="1">
        <v>72</v>
      </c>
    </row>
    <row r="75" spans="3:7" x14ac:dyDescent="0.3">
      <c r="C75" s="1">
        <v>73</v>
      </c>
      <c r="D75" s="2" t="e">
        <f t="shared" si="6"/>
        <v>#REF!</v>
      </c>
      <c r="E75" s="2" t="e">
        <f t="shared" si="7"/>
        <v>#REF!</v>
      </c>
      <c r="F75" s="2" t="e">
        <f t="shared" si="5"/>
        <v>#REF!</v>
      </c>
      <c r="G75" s="1">
        <v>73</v>
      </c>
    </row>
    <row r="76" spans="3:7" x14ac:dyDescent="0.3">
      <c r="C76" s="1">
        <v>74</v>
      </c>
      <c r="D76" s="2" t="e">
        <f t="shared" si="6"/>
        <v>#REF!</v>
      </c>
      <c r="E76" s="2" t="e">
        <f t="shared" si="7"/>
        <v>#REF!</v>
      </c>
      <c r="F76" s="2" t="e">
        <f t="shared" si="5"/>
        <v>#REF!</v>
      </c>
      <c r="G76" s="1">
        <v>74</v>
      </c>
    </row>
    <row r="77" spans="3:7" x14ac:dyDescent="0.3">
      <c r="C77" s="1">
        <v>75</v>
      </c>
      <c r="D77" s="2" t="e">
        <f t="shared" si="6"/>
        <v>#REF!</v>
      </c>
      <c r="E77" s="2" t="e">
        <f t="shared" si="7"/>
        <v>#REF!</v>
      </c>
      <c r="F77" s="2" t="e">
        <f t="shared" si="5"/>
        <v>#REF!</v>
      </c>
      <c r="G77" s="1">
        <v>75</v>
      </c>
    </row>
    <row r="78" spans="3:7" x14ac:dyDescent="0.3">
      <c r="C78" s="1">
        <v>76</v>
      </c>
      <c r="D78" s="2" t="e">
        <f t="shared" si="6"/>
        <v>#REF!</v>
      </c>
      <c r="E78" s="2" t="e">
        <f t="shared" si="7"/>
        <v>#REF!</v>
      </c>
      <c r="F78" s="2" t="e">
        <f t="shared" si="5"/>
        <v>#REF!</v>
      </c>
      <c r="G78" s="1">
        <v>76</v>
      </c>
    </row>
    <row r="79" spans="3:7" x14ac:dyDescent="0.3">
      <c r="C79" s="1">
        <v>77</v>
      </c>
      <c r="D79" s="2" t="e">
        <f t="shared" si="6"/>
        <v>#REF!</v>
      </c>
      <c r="E79" s="2" t="e">
        <f t="shared" si="7"/>
        <v>#REF!</v>
      </c>
      <c r="F79" s="2" t="e">
        <f t="shared" si="5"/>
        <v>#REF!</v>
      </c>
      <c r="G79" s="1">
        <v>77</v>
      </c>
    </row>
    <row r="80" spans="3:7" x14ac:dyDescent="0.3">
      <c r="C80" s="1">
        <v>78</v>
      </c>
      <c r="D80" s="2" t="e">
        <f t="shared" si="6"/>
        <v>#REF!</v>
      </c>
      <c r="E80" s="2" t="e">
        <f t="shared" si="7"/>
        <v>#REF!</v>
      </c>
      <c r="F80" s="2" t="e">
        <f t="shared" si="5"/>
        <v>#REF!</v>
      </c>
      <c r="G80" s="1">
        <v>78</v>
      </c>
    </row>
    <row r="81" spans="3:7" x14ac:dyDescent="0.3">
      <c r="C81" s="1">
        <v>79</v>
      </c>
      <c r="D81" s="2" t="e">
        <f t="shared" si="6"/>
        <v>#REF!</v>
      </c>
      <c r="E81" s="2" t="e">
        <f t="shared" si="7"/>
        <v>#REF!</v>
      </c>
      <c r="F81" s="2" t="e">
        <f t="shared" si="5"/>
        <v>#REF!</v>
      </c>
      <c r="G81" s="1">
        <v>79</v>
      </c>
    </row>
    <row r="82" spans="3:7" x14ac:dyDescent="0.3">
      <c r="C82" s="1">
        <v>80</v>
      </c>
      <c r="D82" s="2" t="e">
        <f t="shared" si="6"/>
        <v>#REF!</v>
      </c>
      <c r="E82" s="2" t="e">
        <f t="shared" si="7"/>
        <v>#REF!</v>
      </c>
      <c r="F82" s="2" t="e">
        <f t="shared" si="5"/>
        <v>#REF!</v>
      </c>
      <c r="G82" s="1">
        <v>80</v>
      </c>
    </row>
    <row r="83" spans="3:7" x14ac:dyDescent="0.3">
      <c r="C83" s="1">
        <v>81</v>
      </c>
      <c r="D83" s="2" t="e">
        <f t="shared" si="6"/>
        <v>#REF!</v>
      </c>
      <c r="E83" s="2" t="e">
        <f t="shared" si="7"/>
        <v>#REF!</v>
      </c>
      <c r="F83" s="2" t="e">
        <f t="shared" si="5"/>
        <v>#REF!</v>
      </c>
      <c r="G83" s="1">
        <v>81</v>
      </c>
    </row>
    <row r="84" spans="3:7" x14ac:dyDescent="0.3">
      <c r="C84" s="1">
        <v>82</v>
      </c>
      <c r="D84" s="2" t="e">
        <f t="shared" si="6"/>
        <v>#REF!</v>
      </c>
      <c r="E84" s="2" t="e">
        <f t="shared" si="7"/>
        <v>#REF!</v>
      </c>
      <c r="F84" s="2" t="e">
        <f t="shared" si="5"/>
        <v>#REF!</v>
      </c>
      <c r="G84" s="1">
        <v>82</v>
      </c>
    </row>
    <row r="85" spans="3:7" x14ac:dyDescent="0.3">
      <c r="C85" s="1">
        <v>83</v>
      </c>
      <c r="D85" s="2" t="e">
        <f t="shared" si="6"/>
        <v>#REF!</v>
      </c>
      <c r="E85" s="2" t="e">
        <f t="shared" si="7"/>
        <v>#REF!</v>
      </c>
      <c r="F85" s="2" t="e">
        <f t="shared" si="5"/>
        <v>#REF!</v>
      </c>
      <c r="G85" s="1">
        <v>83</v>
      </c>
    </row>
    <row r="86" spans="3:7" x14ac:dyDescent="0.3">
      <c r="C86" s="1">
        <v>84</v>
      </c>
      <c r="D86" s="2" t="e">
        <f t="shared" si="6"/>
        <v>#REF!</v>
      </c>
      <c r="E86" s="2" t="e">
        <f t="shared" si="7"/>
        <v>#REF!</v>
      </c>
      <c r="F86" s="2" t="e">
        <f t="shared" si="5"/>
        <v>#REF!</v>
      </c>
      <c r="G86" s="1">
        <v>84</v>
      </c>
    </row>
    <row r="87" spans="3:7" x14ac:dyDescent="0.3">
      <c r="C87" s="1">
        <v>85</v>
      </c>
      <c r="D87" s="2" t="e">
        <f t="shared" si="6"/>
        <v>#REF!</v>
      </c>
      <c r="E87" s="2" t="e">
        <f t="shared" si="7"/>
        <v>#REF!</v>
      </c>
      <c r="F87" s="2" t="e">
        <f t="shared" si="5"/>
        <v>#REF!</v>
      </c>
      <c r="G87" s="1">
        <v>85</v>
      </c>
    </row>
    <row r="88" spans="3:7" x14ac:dyDescent="0.3">
      <c r="C88" s="1">
        <v>86</v>
      </c>
      <c r="D88" s="2" t="e">
        <f t="shared" si="6"/>
        <v>#REF!</v>
      </c>
      <c r="E88" s="2" t="e">
        <f t="shared" si="7"/>
        <v>#REF!</v>
      </c>
      <c r="F88" s="2" t="e">
        <f t="shared" si="5"/>
        <v>#REF!</v>
      </c>
      <c r="G88" s="1">
        <v>86</v>
      </c>
    </row>
    <row r="89" spans="3:7" x14ac:dyDescent="0.3">
      <c r="C89" s="1">
        <v>87</v>
      </c>
      <c r="D89" s="2" t="e">
        <f t="shared" si="6"/>
        <v>#REF!</v>
      </c>
      <c r="E89" s="2" t="e">
        <f t="shared" si="7"/>
        <v>#REF!</v>
      </c>
      <c r="F89" s="2" t="e">
        <f t="shared" si="5"/>
        <v>#REF!</v>
      </c>
      <c r="G89" s="1">
        <v>87</v>
      </c>
    </row>
    <row r="90" spans="3:7" x14ac:dyDescent="0.3">
      <c r="C90" s="1">
        <v>88</v>
      </c>
      <c r="D90" s="2" t="e">
        <f t="shared" si="6"/>
        <v>#REF!</v>
      </c>
      <c r="E90" s="2" t="e">
        <f t="shared" si="7"/>
        <v>#REF!</v>
      </c>
      <c r="F90" s="2" t="e">
        <f t="shared" si="5"/>
        <v>#REF!</v>
      </c>
      <c r="G90" s="1">
        <v>88</v>
      </c>
    </row>
    <row r="91" spans="3:7" x14ac:dyDescent="0.3">
      <c r="C91" s="1">
        <v>89</v>
      </c>
      <c r="D91" s="2" t="e">
        <f t="shared" si="6"/>
        <v>#REF!</v>
      </c>
      <c r="E91" s="2" t="e">
        <f t="shared" si="7"/>
        <v>#REF!</v>
      </c>
      <c r="F91" s="2" t="e">
        <f t="shared" si="5"/>
        <v>#REF!</v>
      </c>
      <c r="G91" s="1">
        <v>89</v>
      </c>
    </row>
    <row r="92" spans="3:7" x14ac:dyDescent="0.3">
      <c r="C92" s="1">
        <v>90</v>
      </c>
      <c r="D92" s="2" t="e">
        <f t="shared" si="6"/>
        <v>#REF!</v>
      </c>
      <c r="E92" s="2" t="e">
        <f t="shared" si="7"/>
        <v>#REF!</v>
      </c>
      <c r="F92" s="2" t="e">
        <f t="shared" si="5"/>
        <v>#REF!</v>
      </c>
      <c r="G92" s="1">
        <v>90</v>
      </c>
    </row>
    <row r="93" spans="3:7" x14ac:dyDescent="0.3">
      <c r="C93" s="1">
        <v>91</v>
      </c>
      <c r="D93" s="2" t="e">
        <f t="shared" si="6"/>
        <v>#REF!</v>
      </c>
      <c r="E93" s="2" t="e">
        <f t="shared" si="7"/>
        <v>#REF!</v>
      </c>
      <c r="F93" s="2" t="e">
        <f t="shared" si="5"/>
        <v>#REF!</v>
      </c>
      <c r="G93" s="1">
        <v>91</v>
      </c>
    </row>
    <row r="94" spans="3:7" x14ac:dyDescent="0.3">
      <c r="C94" s="1">
        <v>92</v>
      </c>
      <c r="D94" s="2" t="e">
        <f t="shared" si="6"/>
        <v>#REF!</v>
      </c>
      <c r="E94" s="2" t="e">
        <f t="shared" si="7"/>
        <v>#REF!</v>
      </c>
      <c r="F94" s="2" t="e">
        <f t="shared" si="5"/>
        <v>#REF!</v>
      </c>
      <c r="G94" s="1">
        <v>92</v>
      </c>
    </row>
    <row r="95" spans="3:7" x14ac:dyDescent="0.3">
      <c r="C95" s="1">
        <v>93</v>
      </c>
      <c r="D95" s="2" t="e">
        <f t="shared" si="6"/>
        <v>#REF!</v>
      </c>
      <c r="E95" s="2" t="e">
        <f t="shared" si="7"/>
        <v>#REF!</v>
      </c>
      <c r="F95" s="2" t="e">
        <f t="shared" si="5"/>
        <v>#REF!</v>
      </c>
      <c r="G95" s="1">
        <v>93</v>
      </c>
    </row>
    <row r="96" spans="3:7" x14ac:dyDescent="0.3">
      <c r="C96" s="1">
        <v>94</v>
      </c>
      <c r="D96" s="2" t="e">
        <f t="shared" si="6"/>
        <v>#REF!</v>
      </c>
      <c r="E96" s="2" t="e">
        <f t="shared" si="7"/>
        <v>#REF!</v>
      </c>
      <c r="F96" s="2" t="e">
        <f t="shared" si="5"/>
        <v>#REF!</v>
      </c>
      <c r="G96" s="1">
        <v>94</v>
      </c>
    </row>
    <row r="97" spans="3:7" x14ac:dyDescent="0.3">
      <c r="C97" s="1">
        <v>95</v>
      </c>
      <c r="D97" s="2" t="e">
        <f t="shared" si="6"/>
        <v>#REF!</v>
      </c>
      <c r="E97" s="2" t="e">
        <f t="shared" si="7"/>
        <v>#REF!</v>
      </c>
      <c r="F97" s="2" t="e">
        <f t="shared" si="5"/>
        <v>#REF!</v>
      </c>
      <c r="G97" s="1">
        <v>95</v>
      </c>
    </row>
    <row r="98" spans="3:7" x14ac:dyDescent="0.3">
      <c r="C98" s="1">
        <v>96</v>
      </c>
      <c r="D98" s="2" t="e">
        <f t="shared" si="6"/>
        <v>#REF!</v>
      </c>
      <c r="E98" s="2" t="e">
        <f t="shared" si="7"/>
        <v>#REF!</v>
      </c>
      <c r="F98" s="2" t="e">
        <f t="shared" si="5"/>
        <v>#REF!</v>
      </c>
      <c r="G98" s="1">
        <v>96</v>
      </c>
    </row>
    <row r="99" spans="3:7" x14ac:dyDescent="0.3">
      <c r="C99" s="1">
        <v>97</v>
      </c>
      <c r="D99" s="2" t="e">
        <f t="shared" si="6"/>
        <v>#REF!</v>
      </c>
      <c r="E99" s="2" t="e">
        <f t="shared" si="7"/>
        <v>#REF!</v>
      </c>
      <c r="F99" s="2" t="e">
        <f t="shared" si="5"/>
        <v>#REF!</v>
      </c>
      <c r="G99" s="1">
        <v>97</v>
      </c>
    </row>
    <row r="100" spans="3:7" x14ac:dyDescent="0.3">
      <c r="C100" s="1">
        <v>98</v>
      </c>
      <c r="D100" s="2" t="e">
        <f t="shared" si="6"/>
        <v>#REF!</v>
      </c>
      <c r="E100" s="2" t="e">
        <f t="shared" si="7"/>
        <v>#REF!</v>
      </c>
      <c r="F100" s="2" t="e">
        <f t="shared" si="5"/>
        <v>#REF!</v>
      </c>
      <c r="G100" s="1">
        <v>98</v>
      </c>
    </row>
    <row r="101" spans="3:7" x14ac:dyDescent="0.3">
      <c r="C101" s="1">
        <v>99</v>
      </c>
      <c r="D101" s="2" t="e">
        <f t="shared" si="6"/>
        <v>#REF!</v>
      </c>
      <c r="E101" s="2" t="e">
        <f t="shared" si="7"/>
        <v>#REF!</v>
      </c>
      <c r="F101" s="2" t="e">
        <f t="shared" si="5"/>
        <v>#REF!</v>
      </c>
      <c r="G101" s="1">
        <v>99</v>
      </c>
    </row>
    <row r="102" spans="3:7" x14ac:dyDescent="0.3">
      <c r="C102" s="1">
        <v>100</v>
      </c>
      <c r="D102" s="2" t="e">
        <f t="shared" si="6"/>
        <v>#REF!</v>
      </c>
      <c r="E102" s="2" t="e">
        <f t="shared" si="7"/>
        <v>#REF!</v>
      </c>
      <c r="F102" s="2" t="e">
        <f t="shared" si="5"/>
        <v>#REF!</v>
      </c>
      <c r="G102" s="1">
        <v>100</v>
      </c>
    </row>
    <row r="103" spans="3:7" x14ac:dyDescent="0.3">
      <c r="C103" s="1">
        <v>101</v>
      </c>
      <c r="D103" s="2" t="e">
        <f t="shared" si="6"/>
        <v>#REF!</v>
      </c>
      <c r="E103" s="2" t="e">
        <f t="shared" si="7"/>
        <v>#REF!</v>
      </c>
      <c r="F103" s="2" t="e">
        <f t="shared" si="5"/>
        <v>#REF!</v>
      </c>
      <c r="G103" s="1">
        <v>101</v>
      </c>
    </row>
    <row r="104" spans="3:7" x14ac:dyDescent="0.3">
      <c r="C104" s="1">
        <v>102</v>
      </c>
      <c r="D104" s="2" t="e">
        <f t="shared" si="6"/>
        <v>#REF!</v>
      </c>
      <c r="E104" s="2" t="e">
        <f t="shared" si="7"/>
        <v>#REF!</v>
      </c>
      <c r="F104" s="2" t="e">
        <f t="shared" si="5"/>
        <v>#REF!</v>
      </c>
      <c r="G104" s="1">
        <v>102</v>
      </c>
    </row>
    <row r="105" spans="3:7" x14ac:dyDescent="0.3">
      <c r="C105" s="1">
        <v>103</v>
      </c>
      <c r="D105" s="2" t="e">
        <f t="shared" si="6"/>
        <v>#REF!</v>
      </c>
      <c r="E105" s="2" t="e">
        <f t="shared" si="7"/>
        <v>#REF!</v>
      </c>
      <c r="F105" s="2" t="e">
        <f t="shared" si="5"/>
        <v>#REF!</v>
      </c>
      <c r="G105" s="1">
        <v>103</v>
      </c>
    </row>
    <row r="106" spans="3:7" x14ac:dyDescent="0.3">
      <c r="C106" s="1">
        <v>104</v>
      </c>
      <c r="D106" s="2" t="e">
        <f t="shared" si="6"/>
        <v>#REF!</v>
      </c>
      <c r="E106" s="2" t="e">
        <f t="shared" si="7"/>
        <v>#REF!</v>
      </c>
      <c r="F106" s="2" t="e">
        <f t="shared" si="5"/>
        <v>#REF!</v>
      </c>
      <c r="G106" s="1">
        <v>104</v>
      </c>
    </row>
    <row r="107" spans="3:7" x14ac:dyDescent="0.3">
      <c r="C107" s="1">
        <v>105</v>
      </c>
      <c r="D107" s="2" t="e">
        <f t="shared" si="6"/>
        <v>#REF!</v>
      </c>
      <c r="E107" s="2" t="e">
        <f t="shared" si="7"/>
        <v>#REF!</v>
      </c>
      <c r="F107" s="2" t="e">
        <f t="shared" si="5"/>
        <v>#REF!</v>
      </c>
      <c r="G107" s="1">
        <v>105</v>
      </c>
    </row>
    <row r="108" spans="3:7" x14ac:dyDescent="0.3">
      <c r="C108" s="1">
        <v>106</v>
      </c>
      <c r="D108" s="2" t="e">
        <f t="shared" si="6"/>
        <v>#REF!</v>
      </c>
      <c r="E108" s="2" t="e">
        <f t="shared" si="7"/>
        <v>#REF!</v>
      </c>
      <c r="F108" s="2" t="e">
        <f t="shared" si="5"/>
        <v>#REF!</v>
      </c>
      <c r="G108" s="1">
        <v>106</v>
      </c>
    </row>
    <row r="109" spans="3:7" x14ac:dyDescent="0.3">
      <c r="C109" s="1">
        <v>107</v>
      </c>
      <c r="D109" s="2" t="e">
        <f t="shared" si="6"/>
        <v>#REF!</v>
      </c>
      <c r="E109" s="2" t="e">
        <f t="shared" si="7"/>
        <v>#REF!</v>
      </c>
      <c r="F109" s="2" t="e">
        <f t="shared" si="5"/>
        <v>#REF!</v>
      </c>
      <c r="G109" s="1">
        <v>107</v>
      </c>
    </row>
    <row r="110" spans="3:7" x14ac:dyDescent="0.3">
      <c r="C110" s="1">
        <v>108</v>
      </c>
      <c r="D110" s="2" t="e">
        <f t="shared" si="6"/>
        <v>#REF!</v>
      </c>
      <c r="E110" s="2" t="e">
        <f t="shared" si="7"/>
        <v>#REF!</v>
      </c>
      <c r="F110" s="2" t="e">
        <f t="shared" si="5"/>
        <v>#REF!</v>
      </c>
      <c r="G110" s="1">
        <v>108</v>
      </c>
    </row>
    <row r="111" spans="3:7" x14ac:dyDescent="0.3">
      <c r="C111" s="1">
        <v>109</v>
      </c>
      <c r="D111" s="2" t="e">
        <f t="shared" si="6"/>
        <v>#REF!</v>
      </c>
      <c r="E111" s="2" t="e">
        <f t="shared" si="7"/>
        <v>#REF!</v>
      </c>
      <c r="F111" s="2" t="e">
        <f t="shared" si="5"/>
        <v>#REF!</v>
      </c>
      <c r="G111" s="1">
        <v>109</v>
      </c>
    </row>
    <row r="112" spans="3:7" x14ac:dyDescent="0.3">
      <c r="C112" s="1">
        <v>110</v>
      </c>
      <c r="D112" s="2" t="e">
        <f t="shared" si="6"/>
        <v>#REF!</v>
      </c>
      <c r="E112" s="2" t="e">
        <f t="shared" si="7"/>
        <v>#REF!</v>
      </c>
      <c r="F112" s="2" t="e">
        <f t="shared" si="5"/>
        <v>#REF!</v>
      </c>
      <c r="G112" s="1">
        <v>110</v>
      </c>
    </row>
    <row r="113" spans="3:7" x14ac:dyDescent="0.3">
      <c r="C113" s="1">
        <v>111</v>
      </c>
      <c r="D113" s="2" t="e">
        <f t="shared" si="6"/>
        <v>#REF!</v>
      </c>
      <c r="E113" s="2" t="e">
        <f t="shared" si="7"/>
        <v>#REF!</v>
      </c>
      <c r="F113" s="2" t="e">
        <f t="shared" ref="F113:F176" si="8">IF(D113&lt;&gt;0,CONCATENATE(D113,"mm (",TEXT(CONVERT(D113,"mm","in"),"0.0"),"in)"),"")</f>
        <v>#REF!</v>
      </c>
      <c r="G113" s="1">
        <v>111</v>
      </c>
    </row>
    <row r="114" spans="3:7" x14ac:dyDescent="0.3">
      <c r="C114" s="1">
        <v>112</v>
      </c>
      <c r="D114" s="2" t="e">
        <f t="shared" si="6"/>
        <v>#REF!</v>
      </c>
      <c r="E114" s="2" t="e">
        <f t="shared" si="7"/>
        <v>#REF!</v>
      </c>
      <c r="F114" s="2" t="e">
        <f t="shared" si="8"/>
        <v>#REF!</v>
      </c>
      <c r="G114" s="1">
        <v>112</v>
      </c>
    </row>
    <row r="115" spans="3:7" x14ac:dyDescent="0.3">
      <c r="C115" s="1">
        <v>113</v>
      </c>
      <c r="D115" s="2" t="e">
        <f t="shared" si="6"/>
        <v>#REF!</v>
      </c>
      <c r="E115" s="2" t="e">
        <f t="shared" si="7"/>
        <v>#REF!</v>
      </c>
      <c r="F115" s="2" t="e">
        <f t="shared" si="8"/>
        <v>#REF!</v>
      </c>
      <c r="G115" s="1">
        <v>113</v>
      </c>
    </row>
    <row r="116" spans="3:7" x14ac:dyDescent="0.3">
      <c r="C116" s="1">
        <v>114</v>
      </c>
      <c r="D116" s="2" t="e">
        <f t="shared" si="6"/>
        <v>#REF!</v>
      </c>
      <c r="E116" s="2" t="e">
        <f t="shared" si="7"/>
        <v>#REF!</v>
      </c>
      <c r="F116" s="2" t="e">
        <f t="shared" si="8"/>
        <v>#REF!</v>
      </c>
      <c r="G116" s="1">
        <v>114</v>
      </c>
    </row>
    <row r="117" spans="3:7" x14ac:dyDescent="0.3">
      <c r="C117" s="1">
        <v>115</v>
      </c>
      <c r="D117" s="2" t="e">
        <f t="shared" si="6"/>
        <v>#REF!</v>
      </c>
      <c r="E117" s="2" t="e">
        <f t="shared" si="7"/>
        <v>#REF!</v>
      </c>
      <c r="F117" s="2" t="e">
        <f t="shared" si="8"/>
        <v>#REF!</v>
      </c>
      <c r="G117" s="1">
        <v>115</v>
      </c>
    </row>
    <row r="118" spans="3:7" x14ac:dyDescent="0.3">
      <c r="C118" s="1">
        <v>116</v>
      </c>
      <c r="D118" s="2" t="e">
        <f t="shared" si="6"/>
        <v>#REF!</v>
      </c>
      <c r="E118" s="2" t="e">
        <f t="shared" si="7"/>
        <v>#REF!</v>
      </c>
      <c r="F118" s="2" t="e">
        <f t="shared" si="8"/>
        <v>#REF!</v>
      </c>
      <c r="G118" s="1">
        <v>116</v>
      </c>
    </row>
    <row r="119" spans="3:7" x14ac:dyDescent="0.3">
      <c r="C119" s="1">
        <v>117</v>
      </c>
      <c r="D119" s="2" t="e">
        <f t="shared" si="6"/>
        <v>#REF!</v>
      </c>
      <c r="E119" s="2" t="e">
        <f t="shared" si="7"/>
        <v>#REF!</v>
      </c>
      <c r="F119" s="2" t="e">
        <f t="shared" si="8"/>
        <v>#REF!</v>
      </c>
      <c r="G119" s="1">
        <v>117</v>
      </c>
    </row>
    <row r="120" spans="3:7" x14ac:dyDescent="0.3">
      <c r="C120" s="1">
        <v>118</v>
      </c>
      <c r="D120" s="2" t="e">
        <f t="shared" si="6"/>
        <v>#REF!</v>
      </c>
      <c r="E120" s="2" t="e">
        <f t="shared" si="7"/>
        <v>#REF!</v>
      </c>
      <c r="F120" s="2" t="e">
        <f t="shared" si="8"/>
        <v>#REF!</v>
      </c>
      <c r="G120" s="1">
        <v>118</v>
      </c>
    </row>
    <row r="121" spans="3:7" x14ac:dyDescent="0.3">
      <c r="C121" s="1">
        <v>119</v>
      </c>
      <c r="D121" s="2" t="e">
        <f t="shared" si="6"/>
        <v>#REF!</v>
      </c>
      <c r="E121" s="2" t="e">
        <f t="shared" si="7"/>
        <v>#REF!</v>
      </c>
      <c r="F121" s="2" t="e">
        <f t="shared" si="8"/>
        <v>#REF!</v>
      </c>
      <c r="G121" s="1">
        <v>119</v>
      </c>
    </row>
    <row r="122" spans="3:7" x14ac:dyDescent="0.3">
      <c r="C122" s="1">
        <v>120</v>
      </c>
      <c r="D122" s="2" t="e">
        <f t="shared" si="6"/>
        <v>#REF!</v>
      </c>
      <c r="E122" s="2" t="e">
        <f t="shared" si="7"/>
        <v>#REF!</v>
      </c>
      <c r="F122" s="2" t="e">
        <f t="shared" si="8"/>
        <v>#REF!</v>
      </c>
      <c r="G122" s="1">
        <v>120</v>
      </c>
    </row>
    <row r="123" spans="3:7" x14ac:dyDescent="0.3">
      <c r="C123" s="1">
        <v>121</v>
      </c>
      <c r="D123" s="2" t="e">
        <f t="shared" si="6"/>
        <v>#REF!</v>
      </c>
      <c r="E123" s="2" t="e">
        <f t="shared" si="7"/>
        <v>#REF!</v>
      </c>
      <c r="F123" s="2" t="e">
        <f t="shared" si="8"/>
        <v>#REF!</v>
      </c>
      <c r="G123" s="1">
        <v>121</v>
      </c>
    </row>
    <row r="124" spans="3:7" x14ac:dyDescent="0.3">
      <c r="C124" s="1">
        <v>122</v>
      </c>
      <c r="D124" s="2" t="e">
        <f t="shared" si="6"/>
        <v>#REF!</v>
      </c>
      <c r="E124" s="2" t="e">
        <f t="shared" si="7"/>
        <v>#REF!</v>
      </c>
      <c r="F124" s="2" t="e">
        <f t="shared" si="8"/>
        <v>#REF!</v>
      </c>
      <c r="G124" s="1">
        <v>122</v>
      </c>
    </row>
    <row r="125" spans="3:7" x14ac:dyDescent="0.3">
      <c r="C125" s="1">
        <v>123</v>
      </c>
      <c r="D125" s="2" t="e">
        <f t="shared" si="6"/>
        <v>#REF!</v>
      </c>
      <c r="E125" s="2" t="e">
        <f t="shared" si="7"/>
        <v>#REF!</v>
      </c>
      <c r="F125" s="2" t="e">
        <f t="shared" si="8"/>
        <v>#REF!</v>
      </c>
      <c r="G125" s="1">
        <v>123</v>
      </c>
    </row>
    <row r="126" spans="3:7" x14ac:dyDescent="0.3">
      <c r="C126" s="1">
        <v>124</v>
      </c>
      <c r="D126" s="2" t="e">
        <f t="shared" si="6"/>
        <v>#REF!</v>
      </c>
      <c r="E126" s="2" t="e">
        <f t="shared" si="7"/>
        <v>#REF!</v>
      </c>
      <c r="F126" s="2" t="e">
        <f t="shared" si="8"/>
        <v>#REF!</v>
      </c>
      <c r="G126" s="1">
        <v>124</v>
      </c>
    </row>
    <row r="127" spans="3:7" x14ac:dyDescent="0.3">
      <c r="C127" s="1">
        <v>125</v>
      </c>
      <c r="D127" s="2" t="e">
        <f t="shared" si="6"/>
        <v>#REF!</v>
      </c>
      <c r="E127" s="2" t="e">
        <f t="shared" si="7"/>
        <v>#REF!</v>
      </c>
      <c r="F127" s="2" t="e">
        <f t="shared" si="8"/>
        <v>#REF!</v>
      </c>
      <c r="G127" s="1">
        <v>125</v>
      </c>
    </row>
    <row r="128" spans="3:7" x14ac:dyDescent="0.3">
      <c r="C128" s="1">
        <v>126</v>
      </c>
      <c r="D128" s="2" t="e">
        <f t="shared" si="6"/>
        <v>#REF!</v>
      </c>
      <c r="E128" s="2" t="e">
        <f t="shared" si="7"/>
        <v>#REF!</v>
      </c>
      <c r="F128" s="2" t="e">
        <f t="shared" si="8"/>
        <v>#REF!</v>
      </c>
      <c r="G128" s="1">
        <v>126</v>
      </c>
    </row>
    <row r="129" spans="3:7" x14ac:dyDescent="0.3">
      <c r="C129" s="1">
        <v>127</v>
      </c>
      <c r="D129" s="2" t="e">
        <f t="shared" si="6"/>
        <v>#REF!</v>
      </c>
      <c r="E129" s="2" t="e">
        <f t="shared" si="7"/>
        <v>#REF!</v>
      </c>
      <c r="F129" s="2" t="e">
        <f t="shared" si="8"/>
        <v>#REF!</v>
      </c>
      <c r="G129" s="1">
        <v>127</v>
      </c>
    </row>
    <row r="130" spans="3:7" x14ac:dyDescent="0.3">
      <c r="C130" s="1">
        <v>128</v>
      </c>
      <c r="D130" s="2" t="e">
        <f t="shared" si="6"/>
        <v>#REF!</v>
      </c>
      <c r="E130" s="2" t="e">
        <f t="shared" si="7"/>
        <v>#REF!</v>
      </c>
      <c r="F130" s="2" t="e">
        <f t="shared" si="8"/>
        <v>#REF!</v>
      </c>
      <c r="G130" s="1">
        <v>128</v>
      </c>
    </row>
    <row r="131" spans="3:7" x14ac:dyDescent="0.3">
      <c r="C131" s="1">
        <v>129</v>
      </c>
      <c r="D131" s="2" t="e">
        <f t="shared" si="6"/>
        <v>#REF!</v>
      </c>
      <c r="E131" s="2" t="e">
        <f t="shared" si="7"/>
        <v>#REF!</v>
      </c>
      <c r="F131" s="2" t="e">
        <f t="shared" si="8"/>
        <v>#REF!</v>
      </c>
      <c r="G131" s="1">
        <v>129</v>
      </c>
    </row>
    <row r="132" spans="3:7" x14ac:dyDescent="0.3">
      <c r="C132" s="1">
        <v>130</v>
      </c>
      <c r="D132" s="2" t="e">
        <f t="shared" si="6"/>
        <v>#REF!</v>
      </c>
      <c r="E132" s="2" t="e">
        <f t="shared" si="7"/>
        <v>#REF!</v>
      </c>
      <c r="F132" s="2" t="e">
        <f t="shared" si="8"/>
        <v>#REF!</v>
      </c>
      <c r="G132" s="1">
        <v>130</v>
      </c>
    </row>
    <row r="133" spans="3:7" x14ac:dyDescent="0.3">
      <c r="C133" s="1">
        <v>131</v>
      </c>
      <c r="D133" s="2" t="e">
        <f t="shared" ref="D133:D196" si="9">IF(E133&lt;&gt;0,E133,"")</f>
        <v>#REF!</v>
      </c>
      <c r="E133" s="2" t="e">
        <f t="shared" ref="E133:E196" si="10">VLOOKUP($H$2,$H$3:$DB$12,$C133,FALSE)</f>
        <v>#REF!</v>
      </c>
      <c r="F133" s="2" t="e">
        <f t="shared" si="8"/>
        <v>#REF!</v>
      </c>
      <c r="G133" s="1">
        <v>131</v>
      </c>
    </row>
    <row r="134" spans="3:7" x14ac:dyDescent="0.3">
      <c r="C134" s="1">
        <v>132</v>
      </c>
      <c r="D134" s="2" t="e">
        <f t="shared" si="9"/>
        <v>#REF!</v>
      </c>
      <c r="E134" s="2" t="e">
        <f t="shared" si="10"/>
        <v>#REF!</v>
      </c>
      <c r="F134" s="2" t="e">
        <f t="shared" si="8"/>
        <v>#REF!</v>
      </c>
      <c r="G134" s="1">
        <v>132</v>
      </c>
    </row>
    <row r="135" spans="3:7" x14ac:dyDescent="0.3">
      <c r="C135" s="1">
        <v>133</v>
      </c>
      <c r="D135" s="2" t="e">
        <f t="shared" si="9"/>
        <v>#REF!</v>
      </c>
      <c r="E135" s="2" t="e">
        <f t="shared" si="10"/>
        <v>#REF!</v>
      </c>
      <c r="F135" s="2" t="e">
        <f t="shared" si="8"/>
        <v>#REF!</v>
      </c>
      <c r="G135" s="1">
        <v>133</v>
      </c>
    </row>
    <row r="136" spans="3:7" x14ac:dyDescent="0.3">
      <c r="C136" s="1">
        <v>134</v>
      </c>
      <c r="D136" s="2" t="e">
        <f t="shared" si="9"/>
        <v>#REF!</v>
      </c>
      <c r="E136" s="2" t="e">
        <f t="shared" si="10"/>
        <v>#REF!</v>
      </c>
      <c r="F136" s="2" t="e">
        <f t="shared" si="8"/>
        <v>#REF!</v>
      </c>
      <c r="G136" s="1">
        <v>134</v>
      </c>
    </row>
    <row r="137" spans="3:7" x14ac:dyDescent="0.3">
      <c r="C137" s="1">
        <v>135</v>
      </c>
      <c r="D137" s="2" t="e">
        <f t="shared" si="9"/>
        <v>#REF!</v>
      </c>
      <c r="E137" s="2" t="e">
        <f t="shared" si="10"/>
        <v>#REF!</v>
      </c>
      <c r="F137" s="2" t="e">
        <f t="shared" si="8"/>
        <v>#REF!</v>
      </c>
      <c r="G137" s="1">
        <v>135</v>
      </c>
    </row>
    <row r="138" spans="3:7" x14ac:dyDescent="0.3">
      <c r="C138" s="1">
        <v>136</v>
      </c>
      <c r="D138" s="2" t="e">
        <f t="shared" si="9"/>
        <v>#REF!</v>
      </c>
      <c r="E138" s="2" t="e">
        <f t="shared" si="10"/>
        <v>#REF!</v>
      </c>
      <c r="F138" s="2" t="e">
        <f t="shared" si="8"/>
        <v>#REF!</v>
      </c>
      <c r="G138" s="1">
        <v>136</v>
      </c>
    </row>
    <row r="139" spans="3:7" x14ac:dyDescent="0.3">
      <c r="C139" s="1">
        <v>137</v>
      </c>
      <c r="D139" s="2" t="e">
        <f t="shared" si="9"/>
        <v>#REF!</v>
      </c>
      <c r="E139" s="2" t="e">
        <f t="shared" si="10"/>
        <v>#REF!</v>
      </c>
      <c r="F139" s="2" t="e">
        <f t="shared" si="8"/>
        <v>#REF!</v>
      </c>
      <c r="G139" s="1">
        <v>137</v>
      </c>
    </row>
    <row r="140" spans="3:7" x14ac:dyDescent="0.3">
      <c r="C140" s="1">
        <v>138</v>
      </c>
      <c r="D140" s="2" t="e">
        <f t="shared" si="9"/>
        <v>#REF!</v>
      </c>
      <c r="E140" s="2" t="e">
        <f t="shared" si="10"/>
        <v>#REF!</v>
      </c>
      <c r="F140" s="2" t="e">
        <f t="shared" si="8"/>
        <v>#REF!</v>
      </c>
      <c r="G140" s="1">
        <v>138</v>
      </c>
    </row>
    <row r="141" spans="3:7" x14ac:dyDescent="0.3">
      <c r="C141" s="1">
        <v>139</v>
      </c>
      <c r="D141" s="2" t="e">
        <f t="shared" si="9"/>
        <v>#REF!</v>
      </c>
      <c r="E141" s="2" t="e">
        <f t="shared" si="10"/>
        <v>#REF!</v>
      </c>
      <c r="F141" s="2" t="e">
        <f t="shared" si="8"/>
        <v>#REF!</v>
      </c>
      <c r="G141" s="1">
        <v>139</v>
      </c>
    </row>
    <row r="142" spans="3:7" x14ac:dyDescent="0.3">
      <c r="C142" s="1">
        <v>140</v>
      </c>
      <c r="D142" s="2" t="e">
        <f t="shared" si="9"/>
        <v>#REF!</v>
      </c>
      <c r="E142" s="2" t="e">
        <f t="shared" si="10"/>
        <v>#REF!</v>
      </c>
      <c r="F142" s="2" t="e">
        <f t="shared" si="8"/>
        <v>#REF!</v>
      </c>
      <c r="G142" s="1">
        <v>140</v>
      </c>
    </row>
    <row r="143" spans="3:7" x14ac:dyDescent="0.3">
      <c r="C143" s="1">
        <v>141</v>
      </c>
      <c r="D143" s="2" t="e">
        <f t="shared" si="9"/>
        <v>#REF!</v>
      </c>
      <c r="E143" s="2" t="e">
        <f t="shared" si="10"/>
        <v>#REF!</v>
      </c>
      <c r="F143" s="2" t="e">
        <f t="shared" si="8"/>
        <v>#REF!</v>
      </c>
      <c r="G143" s="1">
        <v>141</v>
      </c>
    </row>
    <row r="144" spans="3:7" x14ac:dyDescent="0.3">
      <c r="C144" s="1">
        <v>142</v>
      </c>
      <c r="D144" s="2" t="e">
        <f t="shared" si="9"/>
        <v>#REF!</v>
      </c>
      <c r="E144" s="2" t="e">
        <f t="shared" si="10"/>
        <v>#REF!</v>
      </c>
      <c r="F144" s="2" t="e">
        <f t="shared" si="8"/>
        <v>#REF!</v>
      </c>
      <c r="G144" s="1">
        <v>142</v>
      </c>
    </row>
    <row r="145" spans="3:7" x14ac:dyDescent="0.3">
      <c r="C145" s="1">
        <v>143</v>
      </c>
      <c r="D145" s="2" t="e">
        <f t="shared" si="9"/>
        <v>#REF!</v>
      </c>
      <c r="E145" s="2" t="e">
        <f t="shared" si="10"/>
        <v>#REF!</v>
      </c>
      <c r="F145" s="2" t="e">
        <f t="shared" si="8"/>
        <v>#REF!</v>
      </c>
      <c r="G145" s="1">
        <v>143</v>
      </c>
    </row>
    <row r="146" spans="3:7" x14ac:dyDescent="0.3">
      <c r="C146" s="1">
        <v>144</v>
      </c>
      <c r="D146" s="2" t="e">
        <f t="shared" si="9"/>
        <v>#REF!</v>
      </c>
      <c r="E146" s="2" t="e">
        <f t="shared" si="10"/>
        <v>#REF!</v>
      </c>
      <c r="F146" s="2" t="e">
        <f t="shared" si="8"/>
        <v>#REF!</v>
      </c>
      <c r="G146" s="1">
        <v>144</v>
      </c>
    </row>
    <row r="147" spans="3:7" x14ac:dyDescent="0.3">
      <c r="C147" s="1">
        <v>145</v>
      </c>
      <c r="D147" s="2" t="e">
        <f t="shared" si="9"/>
        <v>#REF!</v>
      </c>
      <c r="E147" s="2" t="e">
        <f t="shared" si="10"/>
        <v>#REF!</v>
      </c>
      <c r="F147" s="2" t="e">
        <f t="shared" si="8"/>
        <v>#REF!</v>
      </c>
      <c r="G147" s="1">
        <v>145</v>
      </c>
    </row>
    <row r="148" spans="3:7" x14ac:dyDescent="0.3">
      <c r="C148" s="1">
        <v>146</v>
      </c>
      <c r="D148" s="2" t="e">
        <f t="shared" si="9"/>
        <v>#REF!</v>
      </c>
      <c r="E148" s="2" t="e">
        <f t="shared" si="10"/>
        <v>#REF!</v>
      </c>
      <c r="F148" s="2" t="e">
        <f t="shared" si="8"/>
        <v>#REF!</v>
      </c>
      <c r="G148" s="1">
        <v>146</v>
      </c>
    </row>
    <row r="149" spans="3:7" x14ac:dyDescent="0.3">
      <c r="C149" s="1">
        <v>147</v>
      </c>
      <c r="D149" s="2" t="e">
        <f t="shared" si="9"/>
        <v>#REF!</v>
      </c>
      <c r="E149" s="2" t="e">
        <f t="shared" si="10"/>
        <v>#REF!</v>
      </c>
      <c r="F149" s="2" t="e">
        <f t="shared" si="8"/>
        <v>#REF!</v>
      </c>
      <c r="G149" s="1">
        <v>147</v>
      </c>
    </row>
    <row r="150" spans="3:7" x14ac:dyDescent="0.3">
      <c r="C150" s="1">
        <v>148</v>
      </c>
      <c r="D150" s="2" t="e">
        <f t="shared" si="9"/>
        <v>#REF!</v>
      </c>
      <c r="E150" s="2" t="e">
        <f t="shared" si="10"/>
        <v>#REF!</v>
      </c>
      <c r="F150" s="2" t="e">
        <f t="shared" si="8"/>
        <v>#REF!</v>
      </c>
      <c r="G150" s="1">
        <v>148</v>
      </c>
    </row>
    <row r="151" spans="3:7" x14ac:dyDescent="0.3">
      <c r="C151" s="1">
        <v>149</v>
      </c>
      <c r="D151" s="2" t="e">
        <f t="shared" si="9"/>
        <v>#REF!</v>
      </c>
      <c r="E151" s="2" t="e">
        <f t="shared" si="10"/>
        <v>#REF!</v>
      </c>
      <c r="F151" s="2" t="e">
        <f t="shared" si="8"/>
        <v>#REF!</v>
      </c>
      <c r="G151" s="1">
        <v>149</v>
      </c>
    </row>
    <row r="152" spans="3:7" x14ac:dyDescent="0.3">
      <c r="C152" s="1">
        <v>150</v>
      </c>
      <c r="D152" s="2" t="e">
        <f t="shared" si="9"/>
        <v>#REF!</v>
      </c>
      <c r="E152" s="2" t="e">
        <f t="shared" si="10"/>
        <v>#REF!</v>
      </c>
      <c r="F152" s="2" t="e">
        <f t="shared" si="8"/>
        <v>#REF!</v>
      </c>
      <c r="G152" s="1">
        <v>150</v>
      </c>
    </row>
    <row r="153" spans="3:7" x14ac:dyDescent="0.3">
      <c r="C153" s="1">
        <v>151</v>
      </c>
      <c r="D153" s="2" t="e">
        <f t="shared" si="9"/>
        <v>#REF!</v>
      </c>
      <c r="E153" s="2" t="e">
        <f t="shared" si="10"/>
        <v>#REF!</v>
      </c>
      <c r="F153" s="2" t="e">
        <f t="shared" si="8"/>
        <v>#REF!</v>
      </c>
      <c r="G153" s="1">
        <v>151</v>
      </c>
    </row>
    <row r="154" spans="3:7" x14ac:dyDescent="0.3">
      <c r="C154" s="1">
        <v>152</v>
      </c>
      <c r="D154" s="2" t="e">
        <f t="shared" si="9"/>
        <v>#REF!</v>
      </c>
      <c r="E154" s="2" t="e">
        <f t="shared" si="10"/>
        <v>#REF!</v>
      </c>
      <c r="F154" s="2" t="e">
        <f t="shared" si="8"/>
        <v>#REF!</v>
      </c>
      <c r="G154" s="1">
        <v>152</v>
      </c>
    </row>
    <row r="155" spans="3:7" x14ac:dyDescent="0.3">
      <c r="C155" s="1">
        <v>153</v>
      </c>
      <c r="D155" s="2" t="e">
        <f t="shared" si="9"/>
        <v>#REF!</v>
      </c>
      <c r="E155" s="2" t="e">
        <f t="shared" si="10"/>
        <v>#REF!</v>
      </c>
      <c r="F155" s="2" t="e">
        <f t="shared" si="8"/>
        <v>#REF!</v>
      </c>
      <c r="G155" s="1">
        <v>153</v>
      </c>
    </row>
    <row r="156" spans="3:7" x14ac:dyDescent="0.3">
      <c r="C156" s="1">
        <v>154</v>
      </c>
      <c r="D156" s="2" t="e">
        <f t="shared" si="9"/>
        <v>#REF!</v>
      </c>
      <c r="E156" s="2" t="e">
        <f t="shared" si="10"/>
        <v>#REF!</v>
      </c>
      <c r="F156" s="2" t="e">
        <f t="shared" si="8"/>
        <v>#REF!</v>
      </c>
      <c r="G156" s="1">
        <v>154</v>
      </c>
    </row>
    <row r="157" spans="3:7" x14ac:dyDescent="0.3">
      <c r="C157" s="1">
        <v>155</v>
      </c>
      <c r="D157" s="2" t="e">
        <f t="shared" si="9"/>
        <v>#REF!</v>
      </c>
      <c r="E157" s="2" t="e">
        <f t="shared" si="10"/>
        <v>#REF!</v>
      </c>
      <c r="F157" s="2" t="e">
        <f t="shared" si="8"/>
        <v>#REF!</v>
      </c>
      <c r="G157" s="1">
        <v>155</v>
      </c>
    </row>
    <row r="158" spans="3:7" x14ac:dyDescent="0.3">
      <c r="C158" s="1">
        <v>156</v>
      </c>
      <c r="D158" s="2" t="e">
        <f t="shared" si="9"/>
        <v>#REF!</v>
      </c>
      <c r="E158" s="2" t="e">
        <f t="shared" si="10"/>
        <v>#REF!</v>
      </c>
      <c r="F158" s="2" t="e">
        <f t="shared" si="8"/>
        <v>#REF!</v>
      </c>
      <c r="G158" s="1">
        <v>156</v>
      </c>
    </row>
    <row r="159" spans="3:7" x14ac:dyDescent="0.3">
      <c r="C159" s="1">
        <v>157</v>
      </c>
      <c r="D159" s="2" t="e">
        <f t="shared" si="9"/>
        <v>#REF!</v>
      </c>
      <c r="E159" s="2" t="e">
        <f t="shared" si="10"/>
        <v>#REF!</v>
      </c>
      <c r="F159" s="2" t="e">
        <f t="shared" si="8"/>
        <v>#REF!</v>
      </c>
      <c r="G159" s="1">
        <v>157</v>
      </c>
    </row>
    <row r="160" spans="3:7" x14ac:dyDescent="0.3">
      <c r="C160" s="1">
        <v>158</v>
      </c>
      <c r="D160" s="2" t="e">
        <f t="shared" si="9"/>
        <v>#REF!</v>
      </c>
      <c r="E160" s="2" t="e">
        <f t="shared" si="10"/>
        <v>#REF!</v>
      </c>
      <c r="F160" s="2" t="e">
        <f t="shared" si="8"/>
        <v>#REF!</v>
      </c>
      <c r="G160" s="1">
        <v>158</v>
      </c>
    </row>
    <row r="161" spans="3:7" x14ac:dyDescent="0.3">
      <c r="C161" s="1">
        <v>159</v>
      </c>
      <c r="D161" s="2" t="e">
        <f t="shared" si="9"/>
        <v>#REF!</v>
      </c>
      <c r="E161" s="2" t="e">
        <f t="shared" si="10"/>
        <v>#REF!</v>
      </c>
      <c r="F161" s="2" t="e">
        <f t="shared" si="8"/>
        <v>#REF!</v>
      </c>
      <c r="G161" s="1">
        <v>159</v>
      </c>
    </row>
    <row r="162" spans="3:7" x14ac:dyDescent="0.3">
      <c r="C162" s="1">
        <v>160</v>
      </c>
      <c r="D162" s="2" t="e">
        <f t="shared" si="9"/>
        <v>#REF!</v>
      </c>
      <c r="E162" s="2" t="e">
        <f t="shared" si="10"/>
        <v>#REF!</v>
      </c>
      <c r="F162" s="2" t="e">
        <f t="shared" si="8"/>
        <v>#REF!</v>
      </c>
      <c r="G162" s="1">
        <v>160</v>
      </c>
    </row>
    <row r="163" spans="3:7" x14ac:dyDescent="0.3">
      <c r="C163" s="1">
        <v>161</v>
      </c>
      <c r="D163" s="2" t="e">
        <f t="shared" si="9"/>
        <v>#REF!</v>
      </c>
      <c r="E163" s="2" t="e">
        <f t="shared" si="10"/>
        <v>#REF!</v>
      </c>
      <c r="F163" s="2" t="e">
        <f t="shared" si="8"/>
        <v>#REF!</v>
      </c>
      <c r="G163" s="1">
        <v>161</v>
      </c>
    </row>
    <row r="164" spans="3:7" x14ac:dyDescent="0.3">
      <c r="C164" s="1">
        <v>162</v>
      </c>
      <c r="D164" s="2" t="e">
        <f t="shared" si="9"/>
        <v>#REF!</v>
      </c>
      <c r="E164" s="2" t="e">
        <f t="shared" si="10"/>
        <v>#REF!</v>
      </c>
      <c r="F164" s="2" t="e">
        <f t="shared" si="8"/>
        <v>#REF!</v>
      </c>
      <c r="G164" s="1">
        <v>162</v>
      </c>
    </row>
    <row r="165" spans="3:7" x14ac:dyDescent="0.3">
      <c r="C165" s="1">
        <v>163</v>
      </c>
      <c r="D165" s="2" t="e">
        <f t="shared" si="9"/>
        <v>#REF!</v>
      </c>
      <c r="E165" s="2" t="e">
        <f t="shared" si="10"/>
        <v>#REF!</v>
      </c>
      <c r="F165" s="2" t="e">
        <f t="shared" si="8"/>
        <v>#REF!</v>
      </c>
      <c r="G165" s="1">
        <v>163</v>
      </c>
    </row>
    <row r="166" spans="3:7" x14ac:dyDescent="0.3">
      <c r="C166" s="1">
        <v>164</v>
      </c>
      <c r="D166" s="2" t="e">
        <f t="shared" si="9"/>
        <v>#REF!</v>
      </c>
      <c r="E166" s="2" t="e">
        <f t="shared" si="10"/>
        <v>#REF!</v>
      </c>
      <c r="F166" s="2" t="e">
        <f t="shared" si="8"/>
        <v>#REF!</v>
      </c>
      <c r="G166" s="1">
        <v>164</v>
      </c>
    </row>
    <row r="167" spans="3:7" x14ac:dyDescent="0.3">
      <c r="C167" s="1">
        <v>165</v>
      </c>
      <c r="D167" s="2" t="e">
        <f t="shared" si="9"/>
        <v>#REF!</v>
      </c>
      <c r="E167" s="2" t="e">
        <f t="shared" si="10"/>
        <v>#REF!</v>
      </c>
      <c r="F167" s="2" t="e">
        <f t="shared" si="8"/>
        <v>#REF!</v>
      </c>
      <c r="G167" s="1">
        <v>165</v>
      </c>
    </row>
    <row r="168" spans="3:7" x14ac:dyDescent="0.3">
      <c r="C168" s="1">
        <v>166</v>
      </c>
      <c r="D168" s="2" t="e">
        <f t="shared" si="9"/>
        <v>#REF!</v>
      </c>
      <c r="E168" s="2" t="e">
        <f t="shared" si="10"/>
        <v>#REF!</v>
      </c>
      <c r="F168" s="2" t="e">
        <f t="shared" si="8"/>
        <v>#REF!</v>
      </c>
      <c r="G168" s="1">
        <v>166</v>
      </c>
    </row>
    <row r="169" spans="3:7" x14ac:dyDescent="0.3">
      <c r="C169" s="1">
        <v>167</v>
      </c>
      <c r="D169" s="2" t="e">
        <f t="shared" si="9"/>
        <v>#REF!</v>
      </c>
      <c r="E169" s="2" t="e">
        <f t="shared" si="10"/>
        <v>#REF!</v>
      </c>
      <c r="F169" s="2" t="e">
        <f t="shared" si="8"/>
        <v>#REF!</v>
      </c>
      <c r="G169" s="1">
        <v>167</v>
      </c>
    </row>
    <row r="170" spans="3:7" x14ac:dyDescent="0.3">
      <c r="C170" s="1">
        <v>168</v>
      </c>
      <c r="D170" s="2" t="e">
        <f t="shared" si="9"/>
        <v>#REF!</v>
      </c>
      <c r="E170" s="2" t="e">
        <f t="shared" si="10"/>
        <v>#REF!</v>
      </c>
      <c r="F170" s="2" t="e">
        <f t="shared" si="8"/>
        <v>#REF!</v>
      </c>
      <c r="G170" s="1">
        <v>168</v>
      </c>
    </row>
    <row r="171" spans="3:7" x14ac:dyDescent="0.3">
      <c r="C171" s="1">
        <v>169</v>
      </c>
      <c r="D171" s="2" t="e">
        <f t="shared" si="9"/>
        <v>#REF!</v>
      </c>
      <c r="E171" s="2" t="e">
        <f t="shared" si="10"/>
        <v>#REF!</v>
      </c>
      <c r="F171" s="2" t="e">
        <f t="shared" si="8"/>
        <v>#REF!</v>
      </c>
      <c r="G171" s="1">
        <v>169</v>
      </c>
    </row>
    <row r="172" spans="3:7" x14ac:dyDescent="0.3">
      <c r="C172" s="1">
        <v>170</v>
      </c>
      <c r="D172" s="2" t="e">
        <f t="shared" si="9"/>
        <v>#REF!</v>
      </c>
      <c r="E172" s="2" t="e">
        <f t="shared" si="10"/>
        <v>#REF!</v>
      </c>
      <c r="F172" s="2" t="e">
        <f t="shared" si="8"/>
        <v>#REF!</v>
      </c>
      <c r="G172" s="1">
        <v>170</v>
      </c>
    </row>
    <row r="173" spans="3:7" x14ac:dyDescent="0.3">
      <c r="C173" s="1">
        <v>171</v>
      </c>
      <c r="D173" s="2" t="e">
        <f t="shared" si="9"/>
        <v>#REF!</v>
      </c>
      <c r="E173" s="2" t="e">
        <f t="shared" si="10"/>
        <v>#REF!</v>
      </c>
      <c r="F173" s="2" t="e">
        <f t="shared" si="8"/>
        <v>#REF!</v>
      </c>
      <c r="G173" s="1">
        <v>171</v>
      </c>
    </row>
    <row r="174" spans="3:7" x14ac:dyDescent="0.3">
      <c r="C174" s="1">
        <v>172</v>
      </c>
      <c r="D174" s="2" t="e">
        <f t="shared" si="9"/>
        <v>#REF!</v>
      </c>
      <c r="E174" s="2" t="e">
        <f t="shared" si="10"/>
        <v>#REF!</v>
      </c>
      <c r="F174" s="2" t="e">
        <f t="shared" si="8"/>
        <v>#REF!</v>
      </c>
      <c r="G174" s="1">
        <v>172</v>
      </c>
    </row>
    <row r="175" spans="3:7" x14ac:dyDescent="0.3">
      <c r="C175" s="1">
        <v>173</v>
      </c>
      <c r="D175" s="2" t="e">
        <f t="shared" si="9"/>
        <v>#REF!</v>
      </c>
      <c r="E175" s="2" t="e">
        <f t="shared" si="10"/>
        <v>#REF!</v>
      </c>
      <c r="F175" s="2" t="e">
        <f t="shared" si="8"/>
        <v>#REF!</v>
      </c>
      <c r="G175" s="1">
        <v>173</v>
      </c>
    </row>
    <row r="176" spans="3:7" x14ac:dyDescent="0.3">
      <c r="C176" s="1">
        <v>174</v>
      </c>
      <c r="D176" s="2" t="e">
        <f t="shared" si="9"/>
        <v>#REF!</v>
      </c>
      <c r="E176" s="2" t="e">
        <f t="shared" si="10"/>
        <v>#REF!</v>
      </c>
      <c r="F176" s="2" t="e">
        <f t="shared" si="8"/>
        <v>#REF!</v>
      </c>
      <c r="G176" s="1">
        <v>174</v>
      </c>
    </row>
    <row r="177" spans="3:7" x14ac:dyDescent="0.3">
      <c r="C177" s="1">
        <v>175</v>
      </c>
      <c r="D177" s="2" t="e">
        <f t="shared" si="9"/>
        <v>#REF!</v>
      </c>
      <c r="E177" s="2" t="e">
        <f t="shared" si="10"/>
        <v>#REF!</v>
      </c>
      <c r="F177" s="2" t="e">
        <f t="shared" ref="F177:F240" si="11">IF(D177&lt;&gt;0,CONCATENATE(D177,"mm (",TEXT(CONVERT(D177,"mm","in"),"0.0"),"in)"),"")</f>
        <v>#REF!</v>
      </c>
      <c r="G177" s="1">
        <v>175</v>
      </c>
    </row>
    <row r="178" spans="3:7" x14ac:dyDescent="0.3">
      <c r="C178" s="1">
        <v>176</v>
      </c>
      <c r="D178" s="2" t="e">
        <f t="shared" si="9"/>
        <v>#REF!</v>
      </c>
      <c r="E178" s="2" t="e">
        <f t="shared" si="10"/>
        <v>#REF!</v>
      </c>
      <c r="F178" s="2" t="e">
        <f t="shared" si="11"/>
        <v>#REF!</v>
      </c>
      <c r="G178" s="1">
        <v>176</v>
      </c>
    </row>
    <row r="179" spans="3:7" x14ac:dyDescent="0.3">
      <c r="C179" s="1">
        <v>177</v>
      </c>
      <c r="D179" s="2" t="e">
        <f t="shared" si="9"/>
        <v>#REF!</v>
      </c>
      <c r="E179" s="2" t="e">
        <f t="shared" si="10"/>
        <v>#REF!</v>
      </c>
      <c r="F179" s="2" t="e">
        <f t="shared" si="11"/>
        <v>#REF!</v>
      </c>
      <c r="G179" s="1">
        <v>177</v>
      </c>
    </row>
    <row r="180" spans="3:7" x14ac:dyDescent="0.3">
      <c r="C180" s="1">
        <v>178</v>
      </c>
      <c r="D180" s="2" t="e">
        <f t="shared" si="9"/>
        <v>#REF!</v>
      </c>
      <c r="E180" s="2" t="e">
        <f t="shared" si="10"/>
        <v>#REF!</v>
      </c>
      <c r="F180" s="2" t="e">
        <f t="shared" si="11"/>
        <v>#REF!</v>
      </c>
      <c r="G180" s="1">
        <v>178</v>
      </c>
    </row>
    <row r="181" spans="3:7" x14ac:dyDescent="0.3">
      <c r="C181" s="1">
        <v>179</v>
      </c>
      <c r="D181" s="2" t="e">
        <f t="shared" si="9"/>
        <v>#REF!</v>
      </c>
      <c r="E181" s="2" t="e">
        <f t="shared" si="10"/>
        <v>#REF!</v>
      </c>
      <c r="F181" s="2" t="e">
        <f t="shared" si="11"/>
        <v>#REF!</v>
      </c>
      <c r="G181" s="1">
        <v>179</v>
      </c>
    </row>
    <row r="182" spans="3:7" x14ac:dyDescent="0.3">
      <c r="C182" s="1">
        <v>180</v>
      </c>
      <c r="D182" s="2" t="e">
        <f t="shared" si="9"/>
        <v>#REF!</v>
      </c>
      <c r="E182" s="2" t="e">
        <f t="shared" si="10"/>
        <v>#REF!</v>
      </c>
      <c r="F182" s="2" t="e">
        <f t="shared" si="11"/>
        <v>#REF!</v>
      </c>
      <c r="G182" s="1">
        <v>180</v>
      </c>
    </row>
    <row r="183" spans="3:7" x14ac:dyDescent="0.3">
      <c r="C183" s="1">
        <v>181</v>
      </c>
      <c r="D183" s="2" t="e">
        <f t="shared" si="9"/>
        <v>#REF!</v>
      </c>
      <c r="E183" s="2" t="e">
        <f t="shared" si="10"/>
        <v>#REF!</v>
      </c>
      <c r="F183" s="2" t="e">
        <f t="shared" si="11"/>
        <v>#REF!</v>
      </c>
      <c r="G183" s="1">
        <v>181</v>
      </c>
    </row>
    <row r="184" spans="3:7" x14ac:dyDescent="0.3">
      <c r="C184" s="1">
        <v>182</v>
      </c>
      <c r="D184" s="2" t="e">
        <f t="shared" si="9"/>
        <v>#REF!</v>
      </c>
      <c r="E184" s="2" t="e">
        <f t="shared" si="10"/>
        <v>#REF!</v>
      </c>
      <c r="F184" s="2" t="e">
        <f t="shared" si="11"/>
        <v>#REF!</v>
      </c>
      <c r="G184" s="1">
        <v>182</v>
      </c>
    </row>
    <row r="185" spans="3:7" x14ac:dyDescent="0.3">
      <c r="C185" s="1">
        <v>183</v>
      </c>
      <c r="D185" s="2" t="e">
        <f t="shared" si="9"/>
        <v>#REF!</v>
      </c>
      <c r="E185" s="2" t="e">
        <f t="shared" si="10"/>
        <v>#REF!</v>
      </c>
      <c r="F185" s="2" t="e">
        <f t="shared" si="11"/>
        <v>#REF!</v>
      </c>
      <c r="G185" s="1">
        <v>183</v>
      </c>
    </row>
    <row r="186" spans="3:7" x14ac:dyDescent="0.3">
      <c r="C186" s="1">
        <v>184</v>
      </c>
      <c r="D186" s="2" t="e">
        <f t="shared" si="9"/>
        <v>#REF!</v>
      </c>
      <c r="E186" s="2" t="e">
        <f t="shared" si="10"/>
        <v>#REF!</v>
      </c>
      <c r="F186" s="2" t="e">
        <f t="shared" si="11"/>
        <v>#REF!</v>
      </c>
      <c r="G186" s="1">
        <v>184</v>
      </c>
    </row>
    <row r="187" spans="3:7" x14ac:dyDescent="0.3">
      <c r="C187" s="1">
        <v>185</v>
      </c>
      <c r="D187" s="2" t="e">
        <f t="shared" si="9"/>
        <v>#REF!</v>
      </c>
      <c r="E187" s="2" t="e">
        <f t="shared" si="10"/>
        <v>#REF!</v>
      </c>
      <c r="F187" s="2" t="e">
        <f t="shared" si="11"/>
        <v>#REF!</v>
      </c>
      <c r="G187" s="1">
        <v>185</v>
      </c>
    </row>
    <row r="188" spans="3:7" x14ac:dyDescent="0.3">
      <c r="C188" s="1">
        <v>186</v>
      </c>
      <c r="D188" s="2" t="e">
        <f t="shared" si="9"/>
        <v>#REF!</v>
      </c>
      <c r="E188" s="2" t="e">
        <f t="shared" si="10"/>
        <v>#REF!</v>
      </c>
      <c r="F188" s="2" t="e">
        <f t="shared" si="11"/>
        <v>#REF!</v>
      </c>
      <c r="G188" s="1">
        <v>186</v>
      </c>
    </row>
    <row r="189" spans="3:7" x14ac:dyDescent="0.3">
      <c r="C189" s="1">
        <v>187</v>
      </c>
      <c r="D189" s="2" t="e">
        <f t="shared" si="9"/>
        <v>#REF!</v>
      </c>
      <c r="E189" s="2" t="e">
        <f t="shared" si="10"/>
        <v>#REF!</v>
      </c>
      <c r="F189" s="2" t="e">
        <f t="shared" si="11"/>
        <v>#REF!</v>
      </c>
      <c r="G189" s="1">
        <v>187</v>
      </c>
    </row>
    <row r="190" spans="3:7" x14ac:dyDescent="0.3">
      <c r="C190" s="1">
        <v>188</v>
      </c>
      <c r="D190" s="2" t="e">
        <f t="shared" si="9"/>
        <v>#REF!</v>
      </c>
      <c r="E190" s="2" t="e">
        <f t="shared" si="10"/>
        <v>#REF!</v>
      </c>
      <c r="F190" s="2" t="e">
        <f t="shared" si="11"/>
        <v>#REF!</v>
      </c>
      <c r="G190" s="1">
        <v>188</v>
      </c>
    </row>
    <row r="191" spans="3:7" x14ac:dyDescent="0.3">
      <c r="C191" s="1">
        <v>189</v>
      </c>
      <c r="D191" s="2" t="e">
        <f t="shared" si="9"/>
        <v>#REF!</v>
      </c>
      <c r="E191" s="2" t="e">
        <f t="shared" si="10"/>
        <v>#REF!</v>
      </c>
      <c r="F191" s="2" t="e">
        <f t="shared" si="11"/>
        <v>#REF!</v>
      </c>
      <c r="G191" s="1">
        <v>189</v>
      </c>
    </row>
    <row r="192" spans="3:7" x14ac:dyDescent="0.3">
      <c r="C192" s="1">
        <v>190</v>
      </c>
      <c r="D192" s="2" t="e">
        <f t="shared" si="9"/>
        <v>#REF!</v>
      </c>
      <c r="E192" s="2" t="e">
        <f t="shared" si="10"/>
        <v>#REF!</v>
      </c>
      <c r="F192" s="2" t="e">
        <f t="shared" si="11"/>
        <v>#REF!</v>
      </c>
      <c r="G192" s="1">
        <v>190</v>
      </c>
    </row>
    <row r="193" spans="3:7" x14ac:dyDescent="0.3">
      <c r="C193" s="1">
        <v>191</v>
      </c>
      <c r="D193" s="2" t="e">
        <f t="shared" si="9"/>
        <v>#REF!</v>
      </c>
      <c r="E193" s="2" t="e">
        <f t="shared" si="10"/>
        <v>#REF!</v>
      </c>
      <c r="F193" s="2" t="e">
        <f t="shared" si="11"/>
        <v>#REF!</v>
      </c>
      <c r="G193" s="1">
        <v>191</v>
      </c>
    </row>
    <row r="194" spans="3:7" x14ac:dyDescent="0.3">
      <c r="C194" s="1">
        <v>192</v>
      </c>
      <c r="D194" s="2" t="e">
        <f t="shared" si="9"/>
        <v>#REF!</v>
      </c>
      <c r="E194" s="2" t="e">
        <f t="shared" si="10"/>
        <v>#REF!</v>
      </c>
      <c r="F194" s="2" t="e">
        <f t="shared" si="11"/>
        <v>#REF!</v>
      </c>
      <c r="G194" s="1">
        <v>192</v>
      </c>
    </row>
    <row r="195" spans="3:7" x14ac:dyDescent="0.3">
      <c r="C195" s="1">
        <v>193</v>
      </c>
      <c r="D195" s="2" t="e">
        <f t="shared" si="9"/>
        <v>#REF!</v>
      </c>
      <c r="E195" s="2" t="e">
        <f t="shared" si="10"/>
        <v>#REF!</v>
      </c>
      <c r="F195" s="2" t="e">
        <f t="shared" si="11"/>
        <v>#REF!</v>
      </c>
      <c r="G195" s="1">
        <v>193</v>
      </c>
    </row>
    <row r="196" spans="3:7" x14ac:dyDescent="0.3">
      <c r="C196" s="1">
        <v>194</v>
      </c>
      <c r="D196" s="2" t="e">
        <f t="shared" si="9"/>
        <v>#REF!</v>
      </c>
      <c r="E196" s="2" t="e">
        <f t="shared" si="10"/>
        <v>#REF!</v>
      </c>
      <c r="F196" s="2" t="e">
        <f t="shared" si="11"/>
        <v>#REF!</v>
      </c>
      <c r="G196" s="1">
        <v>194</v>
      </c>
    </row>
    <row r="197" spans="3:7" x14ac:dyDescent="0.3">
      <c r="C197" s="1">
        <v>195</v>
      </c>
      <c r="D197" s="2" t="e">
        <f t="shared" ref="D197:D245" si="12">IF(E197&lt;&gt;0,E197,"")</f>
        <v>#REF!</v>
      </c>
      <c r="E197" s="2" t="e">
        <f t="shared" ref="E197:E245" si="13">VLOOKUP($H$2,$H$3:$DB$12,$C197,FALSE)</f>
        <v>#REF!</v>
      </c>
      <c r="F197" s="2" t="e">
        <f t="shared" si="11"/>
        <v>#REF!</v>
      </c>
      <c r="G197" s="1">
        <v>195</v>
      </c>
    </row>
    <row r="198" spans="3:7" x14ac:dyDescent="0.3">
      <c r="C198" s="1">
        <v>196</v>
      </c>
      <c r="D198" s="2" t="e">
        <f t="shared" si="12"/>
        <v>#REF!</v>
      </c>
      <c r="E198" s="2" t="e">
        <f t="shared" si="13"/>
        <v>#REF!</v>
      </c>
      <c r="F198" s="2" t="e">
        <f t="shared" si="11"/>
        <v>#REF!</v>
      </c>
      <c r="G198" s="1">
        <v>196</v>
      </c>
    </row>
    <row r="199" spans="3:7" x14ac:dyDescent="0.3">
      <c r="C199" s="1">
        <v>197</v>
      </c>
      <c r="D199" s="2" t="e">
        <f t="shared" si="12"/>
        <v>#REF!</v>
      </c>
      <c r="E199" s="2" t="e">
        <f t="shared" si="13"/>
        <v>#REF!</v>
      </c>
      <c r="F199" s="2" t="e">
        <f t="shared" si="11"/>
        <v>#REF!</v>
      </c>
      <c r="G199" s="1">
        <v>197</v>
      </c>
    </row>
    <row r="200" spans="3:7" x14ac:dyDescent="0.3">
      <c r="C200" s="1">
        <v>198</v>
      </c>
      <c r="D200" s="2" t="e">
        <f t="shared" si="12"/>
        <v>#REF!</v>
      </c>
      <c r="E200" s="2" t="e">
        <f t="shared" si="13"/>
        <v>#REF!</v>
      </c>
      <c r="F200" s="2" t="e">
        <f t="shared" si="11"/>
        <v>#REF!</v>
      </c>
      <c r="G200" s="1">
        <v>198</v>
      </c>
    </row>
    <row r="201" spans="3:7" x14ac:dyDescent="0.3">
      <c r="C201" s="1">
        <v>199</v>
      </c>
      <c r="D201" s="2" t="e">
        <f t="shared" si="12"/>
        <v>#REF!</v>
      </c>
      <c r="E201" s="2" t="e">
        <f t="shared" si="13"/>
        <v>#REF!</v>
      </c>
      <c r="F201" s="2" t="e">
        <f t="shared" si="11"/>
        <v>#REF!</v>
      </c>
      <c r="G201" s="1">
        <v>199</v>
      </c>
    </row>
    <row r="202" spans="3:7" x14ac:dyDescent="0.3">
      <c r="C202" s="1">
        <v>200</v>
      </c>
      <c r="D202" s="2" t="e">
        <f t="shared" si="12"/>
        <v>#REF!</v>
      </c>
      <c r="E202" s="2" t="e">
        <f t="shared" si="13"/>
        <v>#REF!</v>
      </c>
      <c r="F202" s="2" t="e">
        <f t="shared" si="11"/>
        <v>#REF!</v>
      </c>
      <c r="G202" s="1">
        <v>200</v>
      </c>
    </row>
    <row r="203" spans="3:7" x14ac:dyDescent="0.3">
      <c r="C203" s="1">
        <v>201</v>
      </c>
      <c r="D203" s="2" t="e">
        <f t="shared" si="12"/>
        <v>#REF!</v>
      </c>
      <c r="E203" s="2" t="e">
        <f t="shared" si="13"/>
        <v>#REF!</v>
      </c>
      <c r="F203" s="2" t="e">
        <f t="shared" si="11"/>
        <v>#REF!</v>
      </c>
      <c r="G203" s="1">
        <v>201</v>
      </c>
    </row>
    <row r="204" spans="3:7" x14ac:dyDescent="0.3">
      <c r="C204" s="1">
        <v>202</v>
      </c>
      <c r="D204" s="2" t="e">
        <f t="shared" si="12"/>
        <v>#REF!</v>
      </c>
      <c r="E204" s="2" t="e">
        <f t="shared" si="13"/>
        <v>#REF!</v>
      </c>
      <c r="F204" s="2" t="e">
        <f t="shared" si="11"/>
        <v>#REF!</v>
      </c>
      <c r="G204" s="1">
        <v>202</v>
      </c>
    </row>
    <row r="205" spans="3:7" x14ac:dyDescent="0.3">
      <c r="C205" s="1">
        <v>203</v>
      </c>
      <c r="D205" s="2" t="e">
        <f t="shared" si="12"/>
        <v>#REF!</v>
      </c>
      <c r="E205" s="2" t="e">
        <f t="shared" si="13"/>
        <v>#REF!</v>
      </c>
      <c r="F205" s="2" t="e">
        <f t="shared" si="11"/>
        <v>#REF!</v>
      </c>
      <c r="G205" s="1">
        <v>203</v>
      </c>
    </row>
    <row r="206" spans="3:7" x14ac:dyDescent="0.3">
      <c r="C206" s="1">
        <v>204</v>
      </c>
      <c r="D206" s="2" t="e">
        <f t="shared" si="12"/>
        <v>#REF!</v>
      </c>
      <c r="E206" s="2" t="e">
        <f t="shared" si="13"/>
        <v>#REF!</v>
      </c>
      <c r="F206" s="2" t="e">
        <f t="shared" si="11"/>
        <v>#REF!</v>
      </c>
      <c r="G206" s="1">
        <v>204</v>
      </c>
    </row>
    <row r="207" spans="3:7" x14ac:dyDescent="0.3">
      <c r="C207" s="1">
        <v>205</v>
      </c>
      <c r="D207" s="2" t="e">
        <f t="shared" si="12"/>
        <v>#REF!</v>
      </c>
      <c r="E207" s="2" t="e">
        <f t="shared" si="13"/>
        <v>#REF!</v>
      </c>
      <c r="F207" s="2" t="e">
        <f t="shared" si="11"/>
        <v>#REF!</v>
      </c>
      <c r="G207" s="1">
        <v>205</v>
      </c>
    </row>
    <row r="208" spans="3:7" x14ac:dyDescent="0.3">
      <c r="C208" s="1">
        <v>206</v>
      </c>
      <c r="D208" s="2" t="e">
        <f t="shared" si="12"/>
        <v>#REF!</v>
      </c>
      <c r="E208" s="2" t="e">
        <f t="shared" si="13"/>
        <v>#REF!</v>
      </c>
      <c r="F208" s="2" t="e">
        <f t="shared" si="11"/>
        <v>#REF!</v>
      </c>
      <c r="G208" s="1">
        <v>206</v>
      </c>
    </row>
    <row r="209" spans="3:7" x14ac:dyDescent="0.3">
      <c r="C209" s="1">
        <v>207</v>
      </c>
      <c r="D209" s="2" t="e">
        <f t="shared" si="12"/>
        <v>#REF!</v>
      </c>
      <c r="E209" s="2" t="e">
        <f t="shared" si="13"/>
        <v>#REF!</v>
      </c>
      <c r="F209" s="2" t="e">
        <f t="shared" si="11"/>
        <v>#REF!</v>
      </c>
      <c r="G209" s="1">
        <v>207</v>
      </c>
    </row>
    <row r="210" spans="3:7" x14ac:dyDescent="0.3">
      <c r="C210" s="1">
        <v>208</v>
      </c>
      <c r="D210" s="2" t="e">
        <f t="shared" si="12"/>
        <v>#REF!</v>
      </c>
      <c r="E210" s="2" t="e">
        <f t="shared" si="13"/>
        <v>#REF!</v>
      </c>
      <c r="F210" s="2" t="e">
        <f t="shared" si="11"/>
        <v>#REF!</v>
      </c>
      <c r="G210" s="1">
        <v>208</v>
      </c>
    </row>
    <row r="211" spans="3:7" x14ac:dyDescent="0.3">
      <c r="C211" s="1">
        <v>209</v>
      </c>
      <c r="D211" s="2" t="e">
        <f t="shared" si="12"/>
        <v>#REF!</v>
      </c>
      <c r="E211" s="2" t="e">
        <f t="shared" si="13"/>
        <v>#REF!</v>
      </c>
      <c r="F211" s="2" t="e">
        <f t="shared" si="11"/>
        <v>#REF!</v>
      </c>
      <c r="G211" s="1">
        <v>209</v>
      </c>
    </row>
    <row r="212" spans="3:7" x14ac:dyDescent="0.3">
      <c r="C212" s="1">
        <v>210</v>
      </c>
      <c r="D212" s="2" t="e">
        <f t="shared" si="12"/>
        <v>#REF!</v>
      </c>
      <c r="E212" s="2" t="e">
        <f t="shared" si="13"/>
        <v>#REF!</v>
      </c>
      <c r="F212" s="2" t="e">
        <f t="shared" si="11"/>
        <v>#REF!</v>
      </c>
      <c r="G212" s="1">
        <v>210</v>
      </c>
    </row>
    <row r="213" spans="3:7" x14ac:dyDescent="0.3">
      <c r="C213" s="1">
        <v>211</v>
      </c>
      <c r="D213" s="2" t="e">
        <f t="shared" si="12"/>
        <v>#REF!</v>
      </c>
      <c r="E213" s="2" t="e">
        <f t="shared" si="13"/>
        <v>#REF!</v>
      </c>
      <c r="F213" s="2" t="e">
        <f t="shared" si="11"/>
        <v>#REF!</v>
      </c>
      <c r="G213" s="1">
        <v>211</v>
      </c>
    </row>
    <row r="214" spans="3:7" x14ac:dyDescent="0.3">
      <c r="C214" s="1">
        <v>212</v>
      </c>
      <c r="D214" s="2" t="e">
        <f t="shared" si="12"/>
        <v>#REF!</v>
      </c>
      <c r="E214" s="2" t="e">
        <f t="shared" si="13"/>
        <v>#REF!</v>
      </c>
      <c r="F214" s="2" t="e">
        <f t="shared" si="11"/>
        <v>#REF!</v>
      </c>
      <c r="G214" s="1">
        <v>212</v>
      </c>
    </row>
    <row r="215" spans="3:7" x14ac:dyDescent="0.3">
      <c r="C215" s="1">
        <v>213</v>
      </c>
      <c r="D215" s="2" t="e">
        <f t="shared" si="12"/>
        <v>#REF!</v>
      </c>
      <c r="E215" s="2" t="e">
        <f t="shared" si="13"/>
        <v>#REF!</v>
      </c>
      <c r="F215" s="2" t="e">
        <f t="shared" si="11"/>
        <v>#REF!</v>
      </c>
      <c r="G215" s="1">
        <v>213</v>
      </c>
    </row>
    <row r="216" spans="3:7" x14ac:dyDescent="0.3">
      <c r="C216" s="1">
        <v>214</v>
      </c>
      <c r="D216" s="2" t="e">
        <f t="shared" si="12"/>
        <v>#REF!</v>
      </c>
      <c r="E216" s="2" t="e">
        <f t="shared" si="13"/>
        <v>#REF!</v>
      </c>
      <c r="F216" s="2" t="e">
        <f t="shared" si="11"/>
        <v>#REF!</v>
      </c>
      <c r="G216" s="1">
        <v>214</v>
      </c>
    </row>
    <row r="217" spans="3:7" x14ac:dyDescent="0.3">
      <c r="C217" s="1">
        <v>215</v>
      </c>
      <c r="D217" s="2" t="e">
        <f t="shared" si="12"/>
        <v>#REF!</v>
      </c>
      <c r="E217" s="2" t="e">
        <f t="shared" si="13"/>
        <v>#REF!</v>
      </c>
      <c r="F217" s="2" t="e">
        <f t="shared" si="11"/>
        <v>#REF!</v>
      </c>
      <c r="G217" s="1">
        <v>215</v>
      </c>
    </row>
    <row r="218" spans="3:7" x14ac:dyDescent="0.3">
      <c r="C218" s="1">
        <v>216</v>
      </c>
      <c r="D218" s="2" t="e">
        <f t="shared" si="12"/>
        <v>#REF!</v>
      </c>
      <c r="E218" s="2" t="e">
        <f t="shared" si="13"/>
        <v>#REF!</v>
      </c>
      <c r="F218" s="2" t="e">
        <f t="shared" si="11"/>
        <v>#REF!</v>
      </c>
      <c r="G218" s="1">
        <v>216</v>
      </c>
    </row>
    <row r="219" spans="3:7" x14ac:dyDescent="0.3">
      <c r="C219" s="1">
        <v>217</v>
      </c>
      <c r="D219" s="2" t="e">
        <f t="shared" si="12"/>
        <v>#REF!</v>
      </c>
      <c r="E219" s="2" t="e">
        <f t="shared" si="13"/>
        <v>#REF!</v>
      </c>
      <c r="F219" s="2" t="e">
        <f t="shared" si="11"/>
        <v>#REF!</v>
      </c>
      <c r="G219" s="1">
        <v>217</v>
      </c>
    </row>
    <row r="220" spans="3:7" x14ac:dyDescent="0.3">
      <c r="C220" s="1">
        <v>218</v>
      </c>
      <c r="D220" s="2" t="e">
        <f t="shared" si="12"/>
        <v>#REF!</v>
      </c>
      <c r="E220" s="2" t="e">
        <f t="shared" si="13"/>
        <v>#REF!</v>
      </c>
      <c r="F220" s="2" t="e">
        <f t="shared" si="11"/>
        <v>#REF!</v>
      </c>
      <c r="G220" s="1">
        <v>218</v>
      </c>
    </row>
    <row r="221" spans="3:7" x14ac:dyDescent="0.3">
      <c r="C221" s="1">
        <v>219</v>
      </c>
      <c r="D221" s="2" t="e">
        <f t="shared" si="12"/>
        <v>#REF!</v>
      </c>
      <c r="E221" s="2" t="e">
        <f t="shared" si="13"/>
        <v>#REF!</v>
      </c>
      <c r="F221" s="2" t="e">
        <f t="shared" si="11"/>
        <v>#REF!</v>
      </c>
      <c r="G221" s="1">
        <v>219</v>
      </c>
    </row>
    <row r="222" spans="3:7" x14ac:dyDescent="0.3">
      <c r="C222" s="1">
        <v>220</v>
      </c>
      <c r="D222" s="2" t="e">
        <f t="shared" si="12"/>
        <v>#REF!</v>
      </c>
      <c r="E222" s="2" t="e">
        <f t="shared" si="13"/>
        <v>#REF!</v>
      </c>
      <c r="F222" s="2" t="e">
        <f t="shared" si="11"/>
        <v>#REF!</v>
      </c>
      <c r="G222" s="1">
        <v>220</v>
      </c>
    </row>
    <row r="223" spans="3:7" x14ac:dyDescent="0.3">
      <c r="C223" s="1">
        <v>221</v>
      </c>
      <c r="D223" s="2" t="e">
        <f t="shared" si="12"/>
        <v>#REF!</v>
      </c>
      <c r="E223" s="2" t="e">
        <f t="shared" si="13"/>
        <v>#REF!</v>
      </c>
      <c r="F223" s="2" t="e">
        <f t="shared" si="11"/>
        <v>#REF!</v>
      </c>
      <c r="G223" s="1">
        <v>221</v>
      </c>
    </row>
    <row r="224" spans="3:7" x14ac:dyDescent="0.3">
      <c r="C224" s="1">
        <v>222</v>
      </c>
      <c r="D224" s="2" t="e">
        <f t="shared" si="12"/>
        <v>#REF!</v>
      </c>
      <c r="E224" s="2" t="e">
        <f t="shared" si="13"/>
        <v>#REF!</v>
      </c>
      <c r="F224" s="2" t="e">
        <f t="shared" si="11"/>
        <v>#REF!</v>
      </c>
      <c r="G224" s="1">
        <v>222</v>
      </c>
    </row>
    <row r="225" spans="3:7" x14ac:dyDescent="0.3">
      <c r="C225" s="1">
        <v>223</v>
      </c>
      <c r="D225" s="2" t="e">
        <f t="shared" si="12"/>
        <v>#REF!</v>
      </c>
      <c r="E225" s="2" t="e">
        <f t="shared" si="13"/>
        <v>#REF!</v>
      </c>
      <c r="F225" s="2" t="e">
        <f t="shared" si="11"/>
        <v>#REF!</v>
      </c>
      <c r="G225" s="1">
        <v>223</v>
      </c>
    </row>
    <row r="226" spans="3:7" x14ac:dyDescent="0.3">
      <c r="C226" s="1">
        <v>224</v>
      </c>
      <c r="D226" s="2" t="e">
        <f t="shared" si="12"/>
        <v>#REF!</v>
      </c>
      <c r="E226" s="2" t="e">
        <f t="shared" si="13"/>
        <v>#REF!</v>
      </c>
      <c r="F226" s="2" t="e">
        <f t="shared" si="11"/>
        <v>#REF!</v>
      </c>
      <c r="G226" s="1">
        <v>224</v>
      </c>
    </row>
    <row r="227" spans="3:7" x14ac:dyDescent="0.3">
      <c r="C227" s="1">
        <v>225</v>
      </c>
      <c r="D227" s="2" t="e">
        <f t="shared" si="12"/>
        <v>#REF!</v>
      </c>
      <c r="E227" s="2" t="e">
        <f t="shared" si="13"/>
        <v>#REF!</v>
      </c>
      <c r="F227" s="2" t="e">
        <f t="shared" si="11"/>
        <v>#REF!</v>
      </c>
      <c r="G227" s="1">
        <v>225</v>
      </c>
    </row>
    <row r="228" spans="3:7" x14ac:dyDescent="0.3">
      <c r="C228" s="1">
        <v>226</v>
      </c>
      <c r="D228" s="2" t="e">
        <f t="shared" si="12"/>
        <v>#REF!</v>
      </c>
      <c r="E228" s="2" t="e">
        <f t="shared" si="13"/>
        <v>#REF!</v>
      </c>
      <c r="F228" s="2" t="e">
        <f t="shared" si="11"/>
        <v>#REF!</v>
      </c>
      <c r="G228" s="1">
        <v>226</v>
      </c>
    </row>
    <row r="229" spans="3:7" x14ac:dyDescent="0.3">
      <c r="C229" s="1">
        <v>227</v>
      </c>
      <c r="D229" s="2" t="e">
        <f t="shared" si="12"/>
        <v>#REF!</v>
      </c>
      <c r="E229" s="2" t="e">
        <f t="shared" si="13"/>
        <v>#REF!</v>
      </c>
      <c r="F229" s="2" t="e">
        <f t="shared" si="11"/>
        <v>#REF!</v>
      </c>
      <c r="G229" s="1">
        <v>227</v>
      </c>
    </row>
    <row r="230" spans="3:7" x14ac:dyDescent="0.3">
      <c r="C230" s="1">
        <v>228</v>
      </c>
      <c r="D230" s="2" t="e">
        <f t="shared" si="12"/>
        <v>#REF!</v>
      </c>
      <c r="E230" s="2" t="e">
        <f t="shared" si="13"/>
        <v>#REF!</v>
      </c>
      <c r="F230" s="2" t="e">
        <f t="shared" si="11"/>
        <v>#REF!</v>
      </c>
      <c r="G230" s="1">
        <v>228</v>
      </c>
    </row>
    <row r="231" spans="3:7" x14ac:dyDescent="0.3">
      <c r="C231" s="1">
        <v>229</v>
      </c>
      <c r="D231" s="2" t="e">
        <f t="shared" si="12"/>
        <v>#REF!</v>
      </c>
      <c r="E231" s="2" t="e">
        <f t="shared" si="13"/>
        <v>#REF!</v>
      </c>
      <c r="F231" s="2" t="e">
        <f t="shared" si="11"/>
        <v>#REF!</v>
      </c>
      <c r="G231" s="1">
        <v>229</v>
      </c>
    </row>
    <row r="232" spans="3:7" x14ac:dyDescent="0.3">
      <c r="C232" s="1">
        <v>230</v>
      </c>
      <c r="D232" s="2" t="e">
        <f t="shared" si="12"/>
        <v>#REF!</v>
      </c>
      <c r="E232" s="2" t="e">
        <f t="shared" si="13"/>
        <v>#REF!</v>
      </c>
      <c r="F232" s="2" t="e">
        <f t="shared" si="11"/>
        <v>#REF!</v>
      </c>
      <c r="G232" s="1">
        <v>230</v>
      </c>
    </row>
    <row r="233" spans="3:7" x14ac:dyDescent="0.3">
      <c r="C233" s="1">
        <v>231</v>
      </c>
      <c r="D233" s="2" t="e">
        <f t="shared" si="12"/>
        <v>#REF!</v>
      </c>
      <c r="E233" s="2" t="e">
        <f t="shared" si="13"/>
        <v>#REF!</v>
      </c>
      <c r="F233" s="2" t="e">
        <f t="shared" si="11"/>
        <v>#REF!</v>
      </c>
      <c r="G233" s="1">
        <v>231</v>
      </c>
    </row>
    <row r="234" spans="3:7" x14ac:dyDescent="0.3">
      <c r="C234" s="1">
        <v>232</v>
      </c>
      <c r="D234" s="2" t="e">
        <f t="shared" si="12"/>
        <v>#REF!</v>
      </c>
      <c r="E234" s="2" t="e">
        <f t="shared" si="13"/>
        <v>#REF!</v>
      </c>
      <c r="F234" s="2" t="e">
        <f t="shared" si="11"/>
        <v>#REF!</v>
      </c>
      <c r="G234" s="1">
        <v>232</v>
      </c>
    </row>
    <row r="235" spans="3:7" x14ac:dyDescent="0.3">
      <c r="C235" s="1">
        <v>233</v>
      </c>
      <c r="D235" s="2" t="e">
        <f t="shared" si="12"/>
        <v>#REF!</v>
      </c>
      <c r="E235" s="2" t="e">
        <f t="shared" si="13"/>
        <v>#REF!</v>
      </c>
      <c r="F235" s="2" t="e">
        <f t="shared" si="11"/>
        <v>#REF!</v>
      </c>
      <c r="G235" s="1">
        <v>233</v>
      </c>
    </row>
    <row r="236" spans="3:7" x14ac:dyDescent="0.3">
      <c r="C236" s="1">
        <v>234</v>
      </c>
      <c r="D236" s="2" t="e">
        <f t="shared" si="12"/>
        <v>#REF!</v>
      </c>
      <c r="E236" s="2" t="e">
        <f t="shared" si="13"/>
        <v>#REF!</v>
      </c>
      <c r="F236" s="2" t="e">
        <f t="shared" si="11"/>
        <v>#REF!</v>
      </c>
      <c r="G236" s="1">
        <v>234</v>
      </c>
    </row>
    <row r="237" spans="3:7" x14ac:dyDescent="0.3">
      <c r="C237" s="1">
        <v>235</v>
      </c>
      <c r="D237" s="2" t="e">
        <f t="shared" si="12"/>
        <v>#REF!</v>
      </c>
      <c r="E237" s="2" t="e">
        <f t="shared" si="13"/>
        <v>#REF!</v>
      </c>
      <c r="F237" s="2" t="e">
        <f t="shared" si="11"/>
        <v>#REF!</v>
      </c>
      <c r="G237" s="1">
        <v>235</v>
      </c>
    </row>
    <row r="238" spans="3:7" x14ac:dyDescent="0.3">
      <c r="C238" s="1">
        <v>236</v>
      </c>
      <c r="D238" s="2" t="e">
        <f t="shared" si="12"/>
        <v>#REF!</v>
      </c>
      <c r="E238" s="2" t="e">
        <f t="shared" si="13"/>
        <v>#REF!</v>
      </c>
      <c r="F238" s="2" t="e">
        <f t="shared" si="11"/>
        <v>#REF!</v>
      </c>
      <c r="G238" s="1">
        <v>236</v>
      </c>
    </row>
    <row r="239" spans="3:7" x14ac:dyDescent="0.3">
      <c r="C239" s="1">
        <v>237</v>
      </c>
      <c r="D239" s="2" t="e">
        <f t="shared" si="12"/>
        <v>#REF!</v>
      </c>
      <c r="E239" s="2" t="e">
        <f t="shared" si="13"/>
        <v>#REF!</v>
      </c>
      <c r="F239" s="2" t="e">
        <f t="shared" si="11"/>
        <v>#REF!</v>
      </c>
      <c r="G239" s="1">
        <v>237</v>
      </c>
    </row>
    <row r="240" spans="3:7" x14ac:dyDescent="0.3">
      <c r="C240" s="1">
        <v>238</v>
      </c>
      <c r="D240" s="2" t="e">
        <f t="shared" si="12"/>
        <v>#REF!</v>
      </c>
      <c r="E240" s="2" t="e">
        <f t="shared" si="13"/>
        <v>#REF!</v>
      </c>
      <c r="F240" s="2" t="e">
        <f t="shared" si="11"/>
        <v>#REF!</v>
      </c>
      <c r="G240" s="1">
        <v>238</v>
      </c>
    </row>
    <row r="241" spans="3:7" x14ac:dyDescent="0.3">
      <c r="C241" s="1">
        <v>239</v>
      </c>
      <c r="D241" s="2" t="e">
        <f t="shared" si="12"/>
        <v>#REF!</v>
      </c>
      <c r="E241" s="2" t="e">
        <f t="shared" si="13"/>
        <v>#REF!</v>
      </c>
      <c r="F241" s="2" t="e">
        <f t="shared" ref="F241:F245" si="14">IF(D241&lt;&gt;0,CONCATENATE(D241,"mm (",TEXT(CONVERT(D241,"mm","in"),"0.0"),"in)"),"")</f>
        <v>#REF!</v>
      </c>
      <c r="G241" s="1">
        <v>239</v>
      </c>
    </row>
    <row r="242" spans="3:7" x14ac:dyDescent="0.3">
      <c r="C242" s="1">
        <v>240</v>
      </c>
      <c r="D242" s="2" t="e">
        <f t="shared" si="12"/>
        <v>#REF!</v>
      </c>
      <c r="E242" s="2" t="e">
        <f t="shared" si="13"/>
        <v>#REF!</v>
      </c>
      <c r="F242" s="2" t="e">
        <f t="shared" si="14"/>
        <v>#REF!</v>
      </c>
      <c r="G242" s="1">
        <v>240</v>
      </c>
    </row>
    <row r="243" spans="3:7" x14ac:dyDescent="0.3">
      <c r="C243" s="1">
        <v>241</v>
      </c>
      <c r="D243" s="2" t="e">
        <f t="shared" si="12"/>
        <v>#REF!</v>
      </c>
      <c r="E243" s="2" t="e">
        <f t="shared" si="13"/>
        <v>#REF!</v>
      </c>
      <c r="F243" s="2" t="e">
        <f t="shared" si="14"/>
        <v>#REF!</v>
      </c>
      <c r="G243" s="1">
        <v>241</v>
      </c>
    </row>
    <row r="244" spans="3:7" x14ac:dyDescent="0.3">
      <c r="C244" s="1">
        <v>242</v>
      </c>
      <c r="D244" s="2" t="e">
        <f t="shared" si="12"/>
        <v>#REF!</v>
      </c>
      <c r="E244" s="2" t="e">
        <f t="shared" si="13"/>
        <v>#REF!</v>
      </c>
      <c r="F244" s="2" t="e">
        <f t="shared" si="14"/>
        <v>#REF!</v>
      </c>
      <c r="G244" s="1">
        <v>242</v>
      </c>
    </row>
    <row r="245" spans="3:7" x14ac:dyDescent="0.3">
      <c r="C245" s="1">
        <v>243</v>
      </c>
      <c r="D245" s="2" t="e">
        <f t="shared" si="12"/>
        <v>#REF!</v>
      </c>
      <c r="E245" s="2" t="e">
        <f t="shared" si="13"/>
        <v>#REF!</v>
      </c>
      <c r="F245" s="2" t="e">
        <f t="shared" si="14"/>
        <v>#REF!</v>
      </c>
      <c r="G245" s="1">
        <v>243</v>
      </c>
    </row>
  </sheetData>
  <customSheetViews>
    <customSheetView guid="{52C17BD0-9019-43AE-9B1C-4B881AB3FBFD}" state="hidden">
      <selection activeCell="D13" sqref="D13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N12"/>
  <sheetViews>
    <sheetView workbookViewId="0"/>
  </sheetViews>
  <sheetFormatPr defaultColWidth="9.33203125" defaultRowHeight="14.4" x14ac:dyDescent="0.3"/>
  <cols>
    <col min="1" max="1" width="16.6640625" style="1" customWidth="1"/>
    <col min="2" max="3" width="9.33203125" style="1"/>
    <col min="4" max="4" width="14" style="1" customWidth="1"/>
    <col min="5" max="5" width="9.33203125" style="1"/>
    <col min="6" max="6" width="17.44140625" style="1" customWidth="1"/>
    <col min="7" max="16384" width="9.33203125" style="1"/>
  </cols>
  <sheetData>
    <row r="1" spans="1:14" x14ac:dyDescent="0.3">
      <c r="A1" s="3" t="e">
        <f>Generator!#REF!</f>
        <v>#REF!</v>
      </c>
      <c r="B1" s="3" t="s">
        <v>20</v>
      </c>
      <c r="H1" s="1" t="s">
        <v>33</v>
      </c>
    </row>
    <row r="2" spans="1:14" x14ac:dyDescent="0.3">
      <c r="A2" s="3" t="e">
        <f>IF(A1="Standard","",VLOOKUP(A1,D4:F8,2,FALSE))</f>
        <v>#REF!</v>
      </c>
      <c r="B2" s="3" t="s">
        <v>21</v>
      </c>
      <c r="H2" s="1" t="e">
        <f>'A-Type'!A1</f>
        <v>#REF!</v>
      </c>
    </row>
    <row r="3" spans="1:14" x14ac:dyDescent="0.3">
      <c r="A3" s="3" t="e">
        <f>VLOOKUP(A1,D4:F8,3,FALSE)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26</v>
      </c>
      <c r="I3" s="5">
        <v>25</v>
      </c>
      <c r="J3" s="5">
        <v>50</v>
      </c>
      <c r="K3" s="5">
        <v>100</v>
      </c>
      <c r="L3" s="5">
        <v>125</v>
      </c>
      <c r="M3" s="5"/>
      <c r="N3" s="5"/>
    </row>
    <row r="4" spans="1:14" x14ac:dyDescent="0.3">
      <c r="C4" s="1">
        <v>2</v>
      </c>
      <c r="D4" s="4" t="e">
        <f>IF(E4="Standard","Standard",IF(E4&lt;&gt;0,CONCATENATE(TEXT(E4/10,"0.0")," mm/rev"),""))</f>
        <v>#REF!</v>
      </c>
      <c r="E4" s="5" t="e">
        <f>VLOOKUP($H$2,$H$3:$N$12,C4,FALSE)</f>
        <v>#REF!</v>
      </c>
      <c r="F4" s="2" t="e">
        <f>IF(E4&lt;&gt;0,CONCATENATE(D4," pitch"),IF(D4="Standard","Standard pitch",1/0))</f>
        <v>#REF!</v>
      </c>
      <c r="H4" s="2" t="s">
        <v>27</v>
      </c>
      <c r="I4" s="5">
        <v>50</v>
      </c>
      <c r="J4" s="5">
        <v>100</v>
      </c>
      <c r="K4" s="5"/>
      <c r="L4" s="5"/>
      <c r="M4" s="5"/>
      <c r="N4" s="5"/>
    </row>
    <row r="5" spans="1:14" x14ac:dyDescent="0.3">
      <c r="C5" s="1">
        <v>3</v>
      </c>
      <c r="D5" s="4" t="e">
        <f t="shared" ref="D5:D7" si="0">IF(E5="Standard","Standard",IF(E5&lt;&gt;0,CONCATENATE(TEXT(E5/10,"0.0")," mm/rev"),""))</f>
        <v>#REF!</v>
      </c>
      <c r="E5" s="5" t="e">
        <f t="shared" ref="E5:E7" si="1">VLOOKUP($H$2,$H$3:$N$12,C5,FALSE)</f>
        <v>#REF!</v>
      </c>
      <c r="F5" s="2" t="e">
        <f t="shared" ref="F5:F7" si="2">IF(E5&lt;&gt;0,CONCATENATE(D5," pitch"),IF(D5="Standard","Standard pitch",1/0))</f>
        <v>#REF!</v>
      </c>
      <c r="H5" s="2" t="s">
        <v>51</v>
      </c>
      <c r="I5" s="5">
        <v>50</v>
      </c>
      <c r="J5" s="5">
        <v>100</v>
      </c>
      <c r="K5" s="2"/>
      <c r="L5" s="2"/>
      <c r="M5" s="2"/>
      <c r="N5" s="2"/>
    </row>
    <row r="6" spans="1:14" x14ac:dyDescent="0.3">
      <c r="C6" s="1">
        <v>4</v>
      </c>
      <c r="D6" s="4" t="e">
        <f t="shared" si="0"/>
        <v>#REF!</v>
      </c>
      <c r="E6" s="5" t="e">
        <f t="shared" si="1"/>
        <v>#REF!</v>
      </c>
      <c r="F6" s="2" t="e">
        <f t="shared" si="2"/>
        <v>#REF!</v>
      </c>
      <c r="H6" s="2" t="s">
        <v>50</v>
      </c>
      <c r="I6" s="5">
        <v>60</v>
      </c>
      <c r="J6" s="5">
        <v>120</v>
      </c>
      <c r="K6" s="2"/>
      <c r="L6" s="2"/>
      <c r="M6" s="2"/>
      <c r="N6" s="2"/>
    </row>
    <row r="7" spans="1:14" x14ac:dyDescent="0.3">
      <c r="C7" s="1">
        <v>5</v>
      </c>
      <c r="D7" s="4" t="e">
        <f t="shared" si="0"/>
        <v>#REF!</v>
      </c>
      <c r="E7" s="5" t="e">
        <f t="shared" si="1"/>
        <v>#REF!</v>
      </c>
      <c r="F7" s="2" t="e">
        <f t="shared" si="2"/>
        <v>#REF!</v>
      </c>
      <c r="H7" s="2" t="s">
        <v>49</v>
      </c>
      <c r="I7" s="5">
        <v>60</v>
      </c>
      <c r="J7" s="5">
        <v>120</v>
      </c>
      <c r="K7" s="2"/>
      <c r="L7" s="2"/>
      <c r="M7" s="2"/>
      <c r="N7" s="2"/>
    </row>
    <row r="8" spans="1:14" x14ac:dyDescent="0.3">
      <c r="D8" s="4"/>
      <c r="E8" s="5"/>
      <c r="F8" s="13"/>
      <c r="H8" s="2" t="s">
        <v>48</v>
      </c>
      <c r="I8" s="5">
        <v>60</v>
      </c>
      <c r="J8" s="5">
        <v>120</v>
      </c>
      <c r="K8" s="2"/>
      <c r="L8" s="2"/>
      <c r="M8" s="2"/>
      <c r="N8" s="2"/>
    </row>
    <row r="9" spans="1:14" x14ac:dyDescent="0.3">
      <c r="H9" s="2" t="s">
        <v>47</v>
      </c>
      <c r="I9" s="5">
        <v>60</v>
      </c>
      <c r="J9" s="5">
        <v>120</v>
      </c>
      <c r="K9" s="2"/>
      <c r="L9" s="2"/>
      <c r="M9" s="2"/>
      <c r="N9" s="2"/>
    </row>
    <row r="10" spans="1:14" x14ac:dyDescent="0.3">
      <c r="H10" s="2" t="s">
        <v>46</v>
      </c>
      <c r="I10" s="5">
        <v>60</v>
      </c>
      <c r="J10" s="5">
        <v>120</v>
      </c>
      <c r="K10" s="2"/>
      <c r="L10" s="2"/>
      <c r="M10" s="2"/>
      <c r="N10" s="2"/>
    </row>
    <row r="11" spans="1:14" x14ac:dyDescent="0.3">
      <c r="H11" s="2" t="s">
        <v>151</v>
      </c>
      <c r="I11" s="5" t="s">
        <v>136</v>
      </c>
      <c r="J11" s="5"/>
      <c r="K11" s="2"/>
      <c r="L11" s="2"/>
      <c r="M11" s="2"/>
      <c r="N11" s="2"/>
    </row>
    <row r="12" spans="1:14" x14ac:dyDescent="0.3">
      <c r="H12" s="2" t="s">
        <v>153</v>
      </c>
      <c r="I12" s="5" t="s">
        <v>136</v>
      </c>
      <c r="J12" s="5"/>
      <c r="K12" s="2"/>
      <c r="L12" s="2"/>
      <c r="M12" s="2"/>
      <c r="N12" s="2"/>
    </row>
  </sheetData>
  <customSheetViews>
    <customSheetView guid="{52C17BD0-9019-43AE-9B1C-4B881AB3FBFD}" state="hidden">
      <selection activeCell="D13" sqref="D1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BU26"/>
  <sheetViews>
    <sheetView workbookViewId="0"/>
  </sheetViews>
  <sheetFormatPr defaultColWidth="9.33203125" defaultRowHeight="14.4" x14ac:dyDescent="0.3"/>
  <cols>
    <col min="1" max="1" width="14.33203125" style="1" customWidth="1"/>
    <col min="2" max="3" width="9.33203125" style="1"/>
    <col min="4" max="4" width="16.44140625" style="1" customWidth="1"/>
    <col min="5" max="5" width="11.6640625" style="1" customWidth="1"/>
    <col min="6" max="6" width="20.6640625" style="1" customWidth="1"/>
    <col min="7" max="8" width="9.33203125" style="1"/>
    <col min="9" max="9" width="18.33203125" style="1" customWidth="1"/>
    <col min="10" max="15" width="9.33203125" style="1"/>
    <col min="16" max="73" width="10.109375" style="1" bestFit="1" customWidth="1"/>
    <col min="74" max="16384" width="9.33203125" style="1"/>
  </cols>
  <sheetData>
    <row r="1" spans="1:73" x14ac:dyDescent="0.3">
      <c r="A1" s="3" t="e">
        <f>Generator!#REF!</f>
        <v>#REF!</v>
      </c>
      <c r="B1" s="3" t="s">
        <v>20</v>
      </c>
      <c r="H1" s="1" t="s">
        <v>33</v>
      </c>
      <c r="O1" s="1" t="s">
        <v>33</v>
      </c>
    </row>
    <row r="2" spans="1:73" x14ac:dyDescent="0.3">
      <c r="A2" s="3" t="e">
        <f>VLOOKUP(A1,D4:F8,2,FALSE)</f>
        <v>#REF!</v>
      </c>
      <c r="B2" s="3" t="s">
        <v>21</v>
      </c>
      <c r="H2" s="1" t="e">
        <f>'A-Type'!A1</f>
        <v>#REF!</v>
      </c>
      <c r="O2" s="1" t="e">
        <f>CONCATENATE('A-Type'!A1,A2)</f>
        <v>#REF!</v>
      </c>
    </row>
    <row r="3" spans="1:73" s="26" customFormat="1" x14ac:dyDescent="0.3">
      <c r="A3" s="3" t="e">
        <f>VLOOKUP(A1,D4:F8,3,FALSE)</f>
        <v>#REF!</v>
      </c>
      <c r="B3" s="3" t="s">
        <v>22</v>
      </c>
      <c r="C3" s="1"/>
      <c r="D3" s="3" t="s">
        <v>23</v>
      </c>
      <c r="E3" s="3" t="s">
        <v>24</v>
      </c>
      <c r="F3" s="3" t="s">
        <v>25</v>
      </c>
      <c r="G3" s="1"/>
      <c r="H3" s="2" t="s">
        <v>26</v>
      </c>
      <c r="I3" s="5" t="s">
        <v>11</v>
      </c>
      <c r="J3" s="5" t="s">
        <v>12</v>
      </c>
      <c r="K3" s="5" t="s">
        <v>13</v>
      </c>
      <c r="L3" s="5"/>
      <c r="M3" s="5"/>
      <c r="N3" s="1"/>
      <c r="O3" s="25" t="s">
        <v>206</v>
      </c>
      <c r="P3" s="22">
        <v>1341</v>
      </c>
      <c r="Q3" s="22">
        <v>1347</v>
      </c>
      <c r="R3" s="23">
        <v>1356</v>
      </c>
      <c r="S3" s="22">
        <v>1364</v>
      </c>
      <c r="T3" s="22">
        <v>1367</v>
      </c>
      <c r="U3" s="22">
        <v>1374</v>
      </c>
      <c r="V3" s="22">
        <v>1382</v>
      </c>
      <c r="W3" s="22">
        <v>1392</v>
      </c>
      <c r="X3" s="22">
        <v>1398</v>
      </c>
      <c r="Y3" s="22">
        <v>1406</v>
      </c>
      <c r="Z3" s="22">
        <v>1409</v>
      </c>
      <c r="AA3" s="22">
        <v>1410</v>
      </c>
      <c r="AB3" s="22">
        <v>1417</v>
      </c>
      <c r="AC3" s="22">
        <v>1421</v>
      </c>
      <c r="AD3" s="22">
        <v>1426</v>
      </c>
      <c r="AE3" s="22">
        <v>1431</v>
      </c>
      <c r="AF3" s="22">
        <v>1435</v>
      </c>
      <c r="AG3" s="22">
        <v>1444</v>
      </c>
      <c r="AH3" s="22">
        <v>1457</v>
      </c>
      <c r="AI3" s="22">
        <v>1460</v>
      </c>
      <c r="AJ3" s="22">
        <v>1478</v>
      </c>
      <c r="AK3" s="22">
        <v>1495</v>
      </c>
      <c r="AL3" s="22">
        <v>1502</v>
      </c>
      <c r="AM3" s="22">
        <v>1530</v>
      </c>
      <c r="AN3" s="22">
        <v>1564</v>
      </c>
      <c r="AO3" s="22">
        <v>1577</v>
      </c>
      <c r="AP3" s="22">
        <v>1600</v>
      </c>
      <c r="AQ3" s="22">
        <v>1635</v>
      </c>
      <c r="AR3" s="22">
        <v>1669</v>
      </c>
      <c r="AS3" s="22">
        <v>1704</v>
      </c>
      <c r="AT3" s="22">
        <v>1739</v>
      </c>
      <c r="AU3" s="22">
        <v>1774</v>
      </c>
      <c r="AV3" s="22">
        <v>1809</v>
      </c>
      <c r="AW3" s="22">
        <v>1844</v>
      </c>
      <c r="AX3" s="22">
        <v>1878</v>
      </c>
    </row>
    <row r="4" spans="1:73" s="26" customFormat="1" x14ac:dyDescent="0.3">
      <c r="A4" s="14" t="e">
        <f>VLOOKUP(O2,O3:BU22,'A-Length'!A6,FALSE)</f>
        <v>#REF!</v>
      </c>
      <c r="B4" s="14" t="s">
        <v>199</v>
      </c>
      <c r="C4" s="1">
        <v>2</v>
      </c>
      <c r="D4" s="4" t="e">
        <f>VLOOKUP(E4,$H$15:$I$26,2,FALSE)</f>
        <v>#REF!</v>
      </c>
      <c r="E4" s="2" t="e">
        <f>VLOOKUP($H$2,$H$3:$M$13,C4,FALSE)</f>
        <v>#REF!</v>
      </c>
      <c r="F4" s="4" t="e">
        <f>VLOOKUP(E4,$H$15:$I$26,2,FALSE)</f>
        <v>#REF!</v>
      </c>
      <c r="G4" s="1"/>
      <c r="H4" s="2" t="s">
        <v>27</v>
      </c>
      <c r="I4" s="5" t="s">
        <v>10</v>
      </c>
      <c r="J4" s="5"/>
      <c r="K4" s="5"/>
      <c r="L4" s="5"/>
      <c r="M4" s="5"/>
      <c r="N4" s="1"/>
      <c r="O4" s="25" t="s">
        <v>207</v>
      </c>
      <c r="P4" s="22">
        <v>2013</v>
      </c>
      <c r="Q4" s="22">
        <v>2016</v>
      </c>
      <c r="R4" s="22">
        <v>2019</v>
      </c>
      <c r="S4" s="22">
        <v>2021</v>
      </c>
      <c r="T4" s="22">
        <v>2022</v>
      </c>
      <c r="U4" s="22">
        <v>2025</v>
      </c>
      <c r="V4" s="22">
        <v>2028</v>
      </c>
      <c r="W4" s="22">
        <v>2032</v>
      </c>
      <c r="X4" s="22">
        <v>2034</v>
      </c>
      <c r="Y4" s="22">
        <v>2036</v>
      </c>
      <c r="Z4" s="22">
        <v>2037</v>
      </c>
      <c r="AA4" s="22">
        <v>2038</v>
      </c>
      <c r="AB4" s="22">
        <v>2040</v>
      </c>
      <c r="AC4" s="22">
        <v>2041</v>
      </c>
      <c r="AD4" s="22">
        <v>2043</v>
      </c>
      <c r="AE4" s="22">
        <v>2044</v>
      </c>
      <c r="AF4" s="22">
        <v>2046</v>
      </c>
      <c r="AG4" s="22">
        <v>2048</v>
      </c>
      <c r="AH4" s="22">
        <v>2055</v>
      </c>
      <c r="AI4" s="22">
        <v>2056</v>
      </c>
      <c r="AJ4" s="22">
        <v>2061</v>
      </c>
      <c r="AK4" s="22">
        <v>2067</v>
      </c>
      <c r="AL4" s="22">
        <v>2096</v>
      </c>
      <c r="AM4" s="22">
        <v>2148</v>
      </c>
      <c r="AN4" s="22">
        <v>2216</v>
      </c>
      <c r="AO4" s="22">
        <v>2241</v>
      </c>
      <c r="AP4" s="22">
        <v>2321</v>
      </c>
      <c r="AQ4" s="22">
        <v>2444</v>
      </c>
      <c r="AR4" s="22">
        <v>2569</v>
      </c>
      <c r="AS4" s="22">
        <v>2692</v>
      </c>
      <c r="AT4" s="22">
        <v>2719</v>
      </c>
      <c r="AU4" s="22">
        <v>2746</v>
      </c>
      <c r="AV4" s="22">
        <v>2772</v>
      </c>
      <c r="AW4" s="22"/>
      <c r="AX4" s="22"/>
    </row>
    <row r="5" spans="1:73" s="26" customFormat="1" x14ac:dyDescent="0.3">
      <c r="A5" s="14">
        <v>0</v>
      </c>
      <c r="B5" s="14" t="s">
        <v>200</v>
      </c>
      <c r="C5" s="1">
        <v>3</v>
      </c>
      <c r="D5" s="4" t="e">
        <f>IF(E5&lt;&gt;0,VLOOKUP(E5,$H$15:$I$26,2,FALSE),"")</f>
        <v>#REF!</v>
      </c>
      <c r="E5" s="2" t="e">
        <f t="shared" ref="E5:E8" si="0">VLOOKUP($H$2,$H$3:$M$13,C5,FALSE)</f>
        <v>#REF!</v>
      </c>
      <c r="F5" s="4" t="e">
        <f t="shared" ref="F5:F8" si="1">VLOOKUP(E5,$H$15:$I$26,2,FALSE)</f>
        <v>#REF!</v>
      </c>
      <c r="G5" s="1"/>
      <c r="H5" s="2" t="s">
        <v>51</v>
      </c>
      <c r="I5" s="5" t="s">
        <v>10</v>
      </c>
      <c r="J5" s="5"/>
      <c r="K5" s="5"/>
      <c r="L5" s="5"/>
      <c r="M5" s="5"/>
      <c r="N5" s="1"/>
      <c r="O5" s="25" t="s">
        <v>208</v>
      </c>
      <c r="P5" s="22">
        <v>2372</v>
      </c>
      <c r="Q5" s="22">
        <v>2388</v>
      </c>
      <c r="R5" s="22">
        <v>2408</v>
      </c>
      <c r="S5" s="22">
        <v>2424</v>
      </c>
      <c r="T5" s="22">
        <v>2430</v>
      </c>
      <c r="U5" s="22">
        <v>2448</v>
      </c>
      <c r="V5" s="22">
        <v>2465</v>
      </c>
      <c r="W5" s="22">
        <v>2488</v>
      </c>
      <c r="X5" s="22">
        <v>2504</v>
      </c>
      <c r="Y5" s="22">
        <v>2517</v>
      </c>
      <c r="Z5" s="22">
        <v>2524</v>
      </c>
      <c r="AA5" s="22">
        <v>2528</v>
      </c>
      <c r="AB5" s="22">
        <v>2543</v>
      </c>
      <c r="AC5" s="22">
        <v>2552</v>
      </c>
      <c r="AD5" s="22">
        <v>2563</v>
      </c>
      <c r="AE5" s="22">
        <v>2576</v>
      </c>
      <c r="AF5" s="22">
        <v>2586</v>
      </c>
      <c r="AG5" s="22">
        <v>2602</v>
      </c>
      <c r="AH5" s="22">
        <v>2635</v>
      </c>
      <c r="AI5" s="22">
        <v>2641</v>
      </c>
      <c r="AJ5" s="22">
        <v>2679</v>
      </c>
      <c r="AK5" s="22">
        <v>2719</v>
      </c>
      <c r="AL5" s="22">
        <v>2761</v>
      </c>
      <c r="AM5" s="22">
        <v>2866</v>
      </c>
      <c r="AN5" s="22">
        <v>3001</v>
      </c>
      <c r="AO5" s="22">
        <v>3047</v>
      </c>
      <c r="AP5" s="22">
        <v>3172</v>
      </c>
      <c r="AQ5" s="22">
        <v>3362</v>
      </c>
      <c r="AR5" s="22">
        <v>3551</v>
      </c>
      <c r="AS5" s="22">
        <v>3741</v>
      </c>
      <c r="AT5" s="22">
        <v>3833</v>
      </c>
      <c r="AU5" s="22">
        <v>3927</v>
      </c>
      <c r="AV5" s="22">
        <v>4018</v>
      </c>
      <c r="AW5" s="22"/>
      <c r="AX5" s="22"/>
    </row>
    <row r="6" spans="1:73" s="26" customFormat="1" x14ac:dyDescent="0.3">
      <c r="A6" s="1"/>
      <c r="B6" s="1"/>
      <c r="C6" s="1">
        <v>4</v>
      </c>
      <c r="D6" s="4" t="e">
        <f t="shared" ref="D6:D8" si="2">IF(E6&lt;&gt;0,VLOOKUP(E6,$H$15:$I$26,2,FALSE),"")</f>
        <v>#REF!</v>
      </c>
      <c r="E6" s="2" t="e">
        <f t="shared" si="0"/>
        <v>#REF!</v>
      </c>
      <c r="F6" s="4" t="e">
        <f t="shared" si="1"/>
        <v>#REF!</v>
      </c>
      <c r="G6" s="1"/>
      <c r="H6" s="2" t="s">
        <v>50</v>
      </c>
      <c r="I6" s="5" t="s">
        <v>10</v>
      </c>
      <c r="J6" s="5"/>
      <c r="K6" s="5"/>
      <c r="L6" s="5"/>
      <c r="M6" s="5"/>
      <c r="N6" s="1"/>
      <c r="O6" s="25" t="s">
        <v>209</v>
      </c>
      <c r="P6" s="22">
        <v>1501</v>
      </c>
      <c r="Q6" s="22">
        <v>1512</v>
      </c>
      <c r="R6" s="22">
        <v>1519</v>
      </c>
      <c r="S6" s="22">
        <v>1528</v>
      </c>
      <c r="T6" s="22">
        <v>1536</v>
      </c>
      <c r="U6" s="22">
        <v>1578</v>
      </c>
      <c r="V6" s="22">
        <v>1607</v>
      </c>
      <c r="W6" s="22">
        <v>1638</v>
      </c>
      <c r="X6" s="22">
        <v>1667</v>
      </c>
      <c r="Y6" s="22">
        <v>1698</v>
      </c>
      <c r="Z6" s="22">
        <v>1727</v>
      </c>
      <c r="AA6" s="22">
        <v>1757</v>
      </c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73" s="26" customFormat="1" x14ac:dyDescent="0.3">
      <c r="A7" s="1"/>
      <c r="B7" s="1"/>
      <c r="C7" s="1">
        <v>5</v>
      </c>
      <c r="D7" s="4" t="e">
        <f t="shared" si="2"/>
        <v>#REF!</v>
      </c>
      <c r="E7" s="2" t="e">
        <f t="shared" si="0"/>
        <v>#REF!</v>
      </c>
      <c r="F7" s="4" t="e">
        <f t="shared" si="1"/>
        <v>#REF!</v>
      </c>
      <c r="G7" s="1"/>
      <c r="H7" s="2" t="s">
        <v>49</v>
      </c>
      <c r="I7" s="5" t="s">
        <v>10</v>
      </c>
      <c r="J7" s="5"/>
      <c r="K7" s="5"/>
      <c r="L7" s="5"/>
      <c r="M7" s="5"/>
      <c r="N7" s="1"/>
      <c r="O7" s="25" t="s">
        <v>210</v>
      </c>
      <c r="P7" s="22">
        <v>2006</v>
      </c>
      <c r="Q7" s="22">
        <v>2045</v>
      </c>
      <c r="R7" s="22">
        <v>2055</v>
      </c>
      <c r="S7" s="22">
        <v>2085</v>
      </c>
      <c r="T7" s="22">
        <v>2156</v>
      </c>
      <c r="U7" s="22">
        <v>2276</v>
      </c>
      <c r="V7" s="22">
        <v>2394</v>
      </c>
      <c r="W7" s="22">
        <v>2416</v>
      </c>
      <c r="X7" s="22">
        <v>2438</v>
      </c>
      <c r="Y7" s="22">
        <v>2460</v>
      </c>
      <c r="Z7" s="22">
        <v>2483</v>
      </c>
      <c r="AA7" s="22">
        <v>2505</v>
      </c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73" s="26" customFormat="1" x14ac:dyDescent="0.3">
      <c r="A8" s="1"/>
      <c r="B8" s="1"/>
      <c r="C8" s="1">
        <v>6</v>
      </c>
      <c r="D8" s="4" t="e">
        <f t="shared" si="2"/>
        <v>#REF!</v>
      </c>
      <c r="E8" s="2" t="e">
        <f t="shared" si="0"/>
        <v>#REF!</v>
      </c>
      <c r="F8" s="4" t="e">
        <f t="shared" si="1"/>
        <v>#REF!</v>
      </c>
      <c r="G8" s="1"/>
      <c r="H8" s="2" t="s">
        <v>48</v>
      </c>
      <c r="I8" s="5" t="s">
        <v>10</v>
      </c>
      <c r="J8" s="5"/>
      <c r="K8" s="5"/>
      <c r="L8" s="5"/>
      <c r="M8" s="5"/>
      <c r="N8" s="1"/>
      <c r="O8" s="25" t="s">
        <v>211</v>
      </c>
      <c r="P8" s="22">
        <v>1091</v>
      </c>
      <c r="Q8" s="22">
        <v>1134</v>
      </c>
      <c r="R8" s="22">
        <v>1174</v>
      </c>
      <c r="S8" s="22">
        <v>1213</v>
      </c>
      <c r="T8" s="22">
        <v>1253</v>
      </c>
      <c r="U8" s="22">
        <v>1293</v>
      </c>
      <c r="V8" s="22">
        <v>1332</v>
      </c>
      <c r="W8" s="22">
        <v>1372</v>
      </c>
      <c r="X8" s="22">
        <v>1412</v>
      </c>
      <c r="Y8" s="22">
        <v>1451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73" s="26" customFormat="1" x14ac:dyDescent="0.3">
      <c r="A9" s="1"/>
      <c r="B9" s="1"/>
      <c r="C9" s="1">
        <v>7</v>
      </c>
      <c r="D9" s="4"/>
      <c r="E9" s="2"/>
      <c r="F9" s="4"/>
      <c r="G9" s="1"/>
      <c r="H9" s="2" t="s">
        <v>47</v>
      </c>
      <c r="I9" s="5" t="s">
        <v>10</v>
      </c>
      <c r="J9" s="5"/>
      <c r="K9" s="5"/>
      <c r="L9" s="5"/>
      <c r="M9" s="5"/>
      <c r="N9" s="1"/>
      <c r="O9" s="25" t="s">
        <v>212</v>
      </c>
      <c r="P9" s="22">
        <v>1369</v>
      </c>
      <c r="Q9" s="22">
        <v>1423</v>
      </c>
      <c r="R9" s="22">
        <v>1477</v>
      </c>
      <c r="S9" s="22">
        <v>1534</v>
      </c>
      <c r="T9" s="22">
        <v>1589</v>
      </c>
      <c r="U9" s="22">
        <v>1642</v>
      </c>
      <c r="V9" s="22">
        <v>1697</v>
      </c>
      <c r="W9" s="22">
        <v>1750</v>
      </c>
      <c r="X9" s="22">
        <v>1805</v>
      </c>
      <c r="Y9" s="22">
        <v>1862</v>
      </c>
      <c r="Z9" s="22">
        <v>1916</v>
      </c>
      <c r="AA9" s="22">
        <v>1970</v>
      </c>
      <c r="AB9" s="22">
        <v>2082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73" s="26" customFormat="1" x14ac:dyDescent="0.3">
      <c r="A10" s="1"/>
      <c r="B10" s="1"/>
      <c r="C10" s="1"/>
      <c r="D10" s="1"/>
      <c r="E10" s="1"/>
      <c r="F10" s="1"/>
      <c r="G10" s="1"/>
      <c r="H10" s="2" t="s">
        <v>46</v>
      </c>
      <c r="I10" s="5" t="s">
        <v>10</v>
      </c>
      <c r="J10" s="5"/>
      <c r="K10" s="5"/>
      <c r="L10" s="5"/>
      <c r="M10" s="5"/>
      <c r="N10" s="1"/>
      <c r="O10" s="25" t="s">
        <v>213</v>
      </c>
      <c r="P10" s="22">
        <v>1174</v>
      </c>
      <c r="Q10" s="22">
        <v>1188</v>
      </c>
      <c r="R10" s="22">
        <v>1202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73" s="26" customFormat="1" x14ac:dyDescent="0.3">
      <c r="A11" s="1"/>
      <c r="B11" s="1"/>
      <c r="C11" s="1"/>
      <c r="D11" s="1"/>
      <c r="E11" s="1"/>
      <c r="F11" s="1"/>
      <c r="G11" s="1"/>
      <c r="H11" s="2" t="s">
        <v>143</v>
      </c>
      <c r="I11" s="4" t="s">
        <v>148</v>
      </c>
      <c r="J11" s="4"/>
      <c r="K11" s="4"/>
      <c r="L11" s="4"/>
      <c r="M11" s="4"/>
      <c r="N11" s="1"/>
      <c r="O11" s="25" t="s">
        <v>214</v>
      </c>
      <c r="P11" s="22">
        <v>1177</v>
      </c>
      <c r="Q11" s="22">
        <v>1185</v>
      </c>
      <c r="R11" s="22">
        <v>1256</v>
      </c>
      <c r="S11" s="22">
        <v>1282</v>
      </c>
      <c r="T11" s="22"/>
      <c r="U11" s="22"/>
      <c r="V11" s="22"/>
      <c r="W11" s="22">
        <v>1873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73" s="26" customFormat="1" x14ac:dyDescent="0.3">
      <c r="A12" s="1"/>
      <c r="B12" s="1"/>
      <c r="C12" s="1"/>
      <c r="D12" s="1"/>
      <c r="E12" s="1"/>
      <c r="F12" s="1"/>
      <c r="G12" s="1"/>
      <c r="H12" s="2" t="s">
        <v>151</v>
      </c>
      <c r="I12" s="4">
        <v>0</v>
      </c>
      <c r="J12" s="4">
        <v>3</v>
      </c>
      <c r="K12" s="4">
        <v>5</v>
      </c>
      <c r="L12" s="4">
        <v>7</v>
      </c>
      <c r="M12" s="4">
        <v>10</v>
      </c>
      <c r="N12" s="1"/>
      <c r="O12" s="25" t="s">
        <v>215</v>
      </c>
      <c r="P12" s="22">
        <v>1288</v>
      </c>
      <c r="Q12" s="22">
        <v>1318</v>
      </c>
      <c r="R12" s="22">
        <v>1358</v>
      </c>
      <c r="S12" s="22">
        <v>1364</v>
      </c>
      <c r="T12" s="22">
        <v>1412</v>
      </c>
      <c r="U12" s="22">
        <v>1445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73" s="26" customFormat="1" x14ac:dyDescent="0.3">
      <c r="A13" s="1"/>
      <c r="B13" s="1"/>
      <c r="C13" s="1"/>
      <c r="D13" s="1"/>
      <c r="E13" s="1"/>
      <c r="F13" s="1"/>
      <c r="G13" s="1"/>
      <c r="H13" s="2" t="s">
        <v>153</v>
      </c>
      <c r="I13" s="4">
        <v>0</v>
      </c>
      <c r="J13" s="4">
        <v>3</v>
      </c>
      <c r="K13" s="4">
        <v>5</v>
      </c>
      <c r="L13" s="4">
        <v>7</v>
      </c>
      <c r="M13" s="4">
        <v>10</v>
      </c>
      <c r="N13" s="1"/>
      <c r="O13" s="25" t="s">
        <v>216</v>
      </c>
      <c r="P13" s="24">
        <v>2593</v>
      </c>
      <c r="Q13" s="22">
        <v>2613</v>
      </c>
      <c r="R13" s="22">
        <v>2633</v>
      </c>
      <c r="S13" s="22">
        <v>2654</v>
      </c>
      <c r="T13" s="22">
        <v>2674</v>
      </c>
      <c r="U13" s="22">
        <v>2694</v>
      </c>
      <c r="V13" s="22">
        <v>2715</v>
      </c>
      <c r="W13" s="22">
        <v>2735</v>
      </c>
      <c r="X13" s="22">
        <v>2755</v>
      </c>
      <c r="Y13" s="22">
        <v>2776</v>
      </c>
      <c r="Z13" s="22">
        <v>2796</v>
      </c>
      <c r="AA13" s="22">
        <v>2816</v>
      </c>
      <c r="AB13" s="22">
        <v>2837</v>
      </c>
      <c r="AC13" s="22">
        <v>2857</v>
      </c>
      <c r="AD13" s="22">
        <v>2877</v>
      </c>
      <c r="AE13" s="22">
        <v>2898</v>
      </c>
      <c r="AF13" s="22">
        <v>2918</v>
      </c>
      <c r="AG13" s="22">
        <v>2938</v>
      </c>
      <c r="AH13" s="22">
        <v>2958</v>
      </c>
      <c r="AI13" s="22">
        <v>2979</v>
      </c>
      <c r="AJ13" s="22">
        <v>2999</v>
      </c>
      <c r="AK13" s="22">
        <v>3019</v>
      </c>
      <c r="AL13" s="22">
        <v>3040</v>
      </c>
      <c r="AM13" s="22">
        <v>3060</v>
      </c>
      <c r="AN13" s="22">
        <v>3080</v>
      </c>
      <c r="AO13" s="22">
        <v>3101</v>
      </c>
      <c r="AP13" s="22">
        <v>3121</v>
      </c>
      <c r="AQ13" s="22">
        <v>3141</v>
      </c>
      <c r="AR13" s="22">
        <v>3162</v>
      </c>
      <c r="AS13" s="22">
        <v>3182</v>
      </c>
      <c r="AT13" s="22">
        <v>3202</v>
      </c>
      <c r="AU13" s="22">
        <v>3223</v>
      </c>
      <c r="AV13" s="22">
        <v>3243</v>
      </c>
      <c r="AW13" s="22">
        <v>3263</v>
      </c>
      <c r="AX13" s="22">
        <v>3284</v>
      </c>
      <c r="AY13" s="27">
        <v>3304</v>
      </c>
      <c r="AZ13" s="22">
        <v>3324</v>
      </c>
      <c r="BA13" s="22">
        <v>3344</v>
      </c>
      <c r="BB13" s="22">
        <v>3365</v>
      </c>
      <c r="BC13" s="22">
        <v>3385</v>
      </c>
      <c r="BD13" s="22">
        <v>3405</v>
      </c>
      <c r="BE13" s="22">
        <v>3426</v>
      </c>
      <c r="BF13" s="22">
        <v>3446</v>
      </c>
      <c r="BG13" s="22">
        <v>3466</v>
      </c>
      <c r="BH13" s="22">
        <v>3487</v>
      </c>
      <c r="BI13" s="22">
        <v>3507</v>
      </c>
      <c r="BJ13" s="22">
        <v>3527</v>
      </c>
      <c r="BK13" s="22">
        <v>3548</v>
      </c>
      <c r="BL13" s="22">
        <v>3568</v>
      </c>
      <c r="BM13" s="22">
        <v>3588</v>
      </c>
      <c r="BN13" s="22">
        <v>3609</v>
      </c>
      <c r="BO13" s="22">
        <v>3629</v>
      </c>
      <c r="BP13" s="22">
        <v>3649</v>
      </c>
      <c r="BQ13" s="22">
        <v>3670</v>
      </c>
      <c r="BR13" s="22">
        <v>3690</v>
      </c>
      <c r="BS13" s="22">
        <v>3710</v>
      </c>
      <c r="BT13" s="22">
        <v>3730</v>
      </c>
      <c r="BU13" s="22">
        <v>3751</v>
      </c>
    </row>
    <row r="14" spans="1:73" s="26" customForma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5" t="s">
        <v>217</v>
      </c>
      <c r="P14" s="22">
        <v>3616</v>
      </c>
      <c r="Q14" s="22">
        <v>3637</v>
      </c>
      <c r="R14" s="22">
        <v>3657</v>
      </c>
      <c r="S14" s="22">
        <v>3677</v>
      </c>
      <c r="T14" s="22">
        <v>3697</v>
      </c>
      <c r="U14" s="22">
        <v>3718</v>
      </c>
      <c r="V14" s="22">
        <v>3738</v>
      </c>
      <c r="W14" s="22">
        <v>3758</v>
      </c>
      <c r="X14" s="22">
        <v>3779</v>
      </c>
      <c r="Y14" s="22">
        <v>3799</v>
      </c>
      <c r="Z14" s="22">
        <v>3819</v>
      </c>
      <c r="AA14" s="22">
        <v>3840</v>
      </c>
      <c r="AB14" s="22">
        <v>3860</v>
      </c>
      <c r="AC14" s="22">
        <v>3880</v>
      </c>
      <c r="AD14" s="22">
        <v>3901</v>
      </c>
      <c r="AE14" s="22">
        <v>3921</v>
      </c>
      <c r="AF14" s="22">
        <v>3941</v>
      </c>
      <c r="AG14" s="22">
        <v>3962</v>
      </c>
      <c r="AH14" s="22">
        <v>3982</v>
      </c>
      <c r="AI14" s="22">
        <v>4002</v>
      </c>
      <c r="AJ14" s="22">
        <v>4023</v>
      </c>
      <c r="AK14" s="22">
        <v>4043</v>
      </c>
      <c r="AL14" s="22">
        <v>4063</v>
      </c>
      <c r="AM14" s="22">
        <v>4083</v>
      </c>
      <c r="AN14" s="22">
        <v>4104</v>
      </c>
      <c r="AO14" s="22">
        <v>4124</v>
      </c>
      <c r="AP14" s="22">
        <v>4144</v>
      </c>
      <c r="AQ14" s="22">
        <v>4165</v>
      </c>
      <c r="AR14" s="22">
        <v>4185</v>
      </c>
      <c r="AS14" s="22">
        <v>4205</v>
      </c>
      <c r="AT14" s="22">
        <v>4226</v>
      </c>
      <c r="AU14" s="22">
        <v>4246</v>
      </c>
      <c r="AV14" s="22">
        <v>4266</v>
      </c>
      <c r="AW14" s="22">
        <v>4287</v>
      </c>
      <c r="AX14" s="22">
        <v>4307</v>
      </c>
      <c r="AY14" s="22">
        <v>4327</v>
      </c>
      <c r="AZ14" s="22">
        <v>4348</v>
      </c>
      <c r="BA14" s="22">
        <v>4368</v>
      </c>
      <c r="BB14" s="22">
        <v>4388</v>
      </c>
      <c r="BC14" s="22">
        <v>4409</v>
      </c>
      <c r="BD14" s="22">
        <v>4429</v>
      </c>
      <c r="BE14" s="22">
        <v>4449</v>
      </c>
      <c r="BF14" s="22">
        <v>4469</v>
      </c>
      <c r="BG14" s="22">
        <v>4490</v>
      </c>
      <c r="BH14" s="22">
        <v>4510</v>
      </c>
      <c r="BI14" s="22">
        <v>4530</v>
      </c>
      <c r="BJ14" s="22">
        <v>4551</v>
      </c>
      <c r="BK14" s="22">
        <v>4571</v>
      </c>
      <c r="BL14" s="22">
        <v>4591</v>
      </c>
      <c r="BM14" s="22">
        <v>4612</v>
      </c>
      <c r="BN14" s="22">
        <v>4632</v>
      </c>
      <c r="BO14" s="22">
        <v>4652</v>
      </c>
      <c r="BP14" s="22">
        <v>4673</v>
      </c>
      <c r="BQ14" s="22">
        <v>4693</v>
      </c>
      <c r="BR14" s="22">
        <v>4713</v>
      </c>
      <c r="BS14" s="22">
        <v>4734</v>
      </c>
      <c r="BT14" s="22">
        <v>4754</v>
      </c>
      <c r="BU14" s="22">
        <v>4774</v>
      </c>
    </row>
    <row r="15" spans="1:73" s="26" customFormat="1" x14ac:dyDescent="0.3">
      <c r="A15" s="1"/>
      <c r="B15" s="1"/>
      <c r="C15" s="1"/>
      <c r="D15" s="1"/>
      <c r="E15" s="1"/>
      <c r="F15" s="1"/>
      <c r="G15" s="1"/>
      <c r="H15" s="2" t="s">
        <v>11</v>
      </c>
      <c r="I15" s="4" t="s">
        <v>38</v>
      </c>
      <c r="J15" s="1"/>
      <c r="K15" s="1"/>
      <c r="L15" s="1"/>
      <c r="M15" s="1"/>
      <c r="N15" s="1"/>
      <c r="O15" s="25" t="s">
        <v>218</v>
      </c>
      <c r="P15" s="22">
        <v>3616</v>
      </c>
      <c r="Q15" s="22">
        <v>3637</v>
      </c>
      <c r="R15" s="22">
        <v>3657</v>
      </c>
      <c r="S15" s="22">
        <v>3677</v>
      </c>
      <c r="T15" s="22">
        <v>3697</v>
      </c>
      <c r="U15" s="22">
        <v>3718</v>
      </c>
      <c r="V15" s="22">
        <v>3738</v>
      </c>
      <c r="W15" s="22">
        <v>3758</v>
      </c>
      <c r="X15" s="22">
        <v>3779</v>
      </c>
      <c r="Y15" s="22">
        <v>3799</v>
      </c>
      <c r="Z15" s="22">
        <v>3819</v>
      </c>
      <c r="AA15" s="22">
        <v>3840</v>
      </c>
      <c r="AB15" s="22">
        <v>3860</v>
      </c>
      <c r="AC15" s="22">
        <v>3880</v>
      </c>
      <c r="AD15" s="22">
        <v>3901</v>
      </c>
      <c r="AE15" s="22">
        <v>3921</v>
      </c>
      <c r="AF15" s="22">
        <v>3941</v>
      </c>
      <c r="AG15" s="22">
        <v>3962</v>
      </c>
      <c r="AH15" s="22">
        <v>3982</v>
      </c>
      <c r="AI15" s="22">
        <v>4002</v>
      </c>
      <c r="AJ15" s="22">
        <v>4023</v>
      </c>
      <c r="AK15" s="22">
        <v>4043</v>
      </c>
      <c r="AL15" s="22">
        <v>4063</v>
      </c>
      <c r="AM15" s="22">
        <v>4083</v>
      </c>
      <c r="AN15" s="22">
        <v>4104</v>
      </c>
      <c r="AO15" s="22">
        <v>4124</v>
      </c>
      <c r="AP15" s="22">
        <v>4144</v>
      </c>
      <c r="AQ15" s="22">
        <v>4165</v>
      </c>
      <c r="AR15" s="22">
        <v>4185</v>
      </c>
      <c r="AS15" s="22">
        <v>4205</v>
      </c>
      <c r="AT15" s="22">
        <v>4226</v>
      </c>
      <c r="AU15" s="22">
        <v>4246</v>
      </c>
      <c r="AV15" s="22">
        <v>4266</v>
      </c>
      <c r="AW15" s="22">
        <v>4287</v>
      </c>
      <c r="AX15" s="22">
        <v>4307</v>
      </c>
      <c r="AY15" s="22">
        <v>4327</v>
      </c>
      <c r="AZ15" s="22">
        <v>4348</v>
      </c>
      <c r="BA15" s="22">
        <v>4368</v>
      </c>
      <c r="BB15" s="22">
        <v>4388</v>
      </c>
      <c r="BC15" s="22">
        <v>4409</v>
      </c>
      <c r="BD15" s="22">
        <v>4429</v>
      </c>
      <c r="BE15" s="22">
        <v>4449</v>
      </c>
      <c r="BF15" s="22">
        <v>4469</v>
      </c>
      <c r="BG15" s="22">
        <v>4490</v>
      </c>
      <c r="BH15" s="22">
        <v>4510</v>
      </c>
      <c r="BI15" s="22">
        <v>4530</v>
      </c>
      <c r="BJ15" s="22">
        <v>4551</v>
      </c>
      <c r="BK15" s="22">
        <v>4571</v>
      </c>
      <c r="BL15" s="22">
        <v>4591</v>
      </c>
      <c r="BM15" s="22">
        <v>4612</v>
      </c>
      <c r="BN15" s="22">
        <v>4632</v>
      </c>
      <c r="BO15" s="22">
        <v>4652</v>
      </c>
      <c r="BP15" s="22">
        <v>4673</v>
      </c>
      <c r="BQ15" s="22">
        <v>4693</v>
      </c>
      <c r="BR15" s="22">
        <v>4713</v>
      </c>
      <c r="BS15" s="22">
        <v>4734</v>
      </c>
      <c r="BT15" s="22">
        <v>4754</v>
      </c>
      <c r="BU15" s="22">
        <v>4774</v>
      </c>
    </row>
    <row r="16" spans="1:73" s="26" customFormat="1" x14ac:dyDescent="0.3">
      <c r="A16" s="1"/>
      <c r="B16" s="1"/>
      <c r="C16" s="1"/>
      <c r="D16" s="1"/>
      <c r="E16" s="1"/>
      <c r="F16" s="1"/>
      <c r="G16" s="1"/>
      <c r="H16" s="2" t="s">
        <v>12</v>
      </c>
      <c r="I16" s="4" t="s">
        <v>39</v>
      </c>
      <c r="J16" s="1"/>
      <c r="K16" s="1"/>
      <c r="L16" s="1"/>
      <c r="M16" s="1"/>
      <c r="N16" s="1"/>
      <c r="O16" s="25" t="s">
        <v>219</v>
      </c>
      <c r="P16" s="22">
        <v>3616</v>
      </c>
      <c r="Q16" s="22">
        <v>3637</v>
      </c>
      <c r="R16" s="22">
        <v>3657</v>
      </c>
      <c r="S16" s="22">
        <v>3677</v>
      </c>
      <c r="T16" s="22">
        <v>3697</v>
      </c>
      <c r="U16" s="22">
        <v>3718</v>
      </c>
      <c r="V16" s="22">
        <v>3738</v>
      </c>
      <c r="W16" s="22">
        <v>3758</v>
      </c>
      <c r="X16" s="22">
        <v>3779</v>
      </c>
      <c r="Y16" s="22">
        <v>3799</v>
      </c>
      <c r="Z16" s="22">
        <v>3819</v>
      </c>
      <c r="AA16" s="22">
        <v>3840</v>
      </c>
      <c r="AB16" s="22">
        <v>3860</v>
      </c>
      <c r="AC16" s="22">
        <v>3880</v>
      </c>
      <c r="AD16" s="22">
        <v>3901</v>
      </c>
      <c r="AE16" s="22">
        <v>3921</v>
      </c>
      <c r="AF16" s="22">
        <v>3941</v>
      </c>
      <c r="AG16" s="22">
        <v>3962</v>
      </c>
      <c r="AH16" s="22">
        <v>3982</v>
      </c>
      <c r="AI16" s="22">
        <v>4002</v>
      </c>
      <c r="AJ16" s="22">
        <v>4023</v>
      </c>
      <c r="AK16" s="22">
        <v>4043</v>
      </c>
      <c r="AL16" s="22">
        <v>4063</v>
      </c>
      <c r="AM16" s="22">
        <v>4083</v>
      </c>
      <c r="AN16" s="22">
        <v>4104</v>
      </c>
      <c r="AO16" s="22">
        <v>4124</v>
      </c>
      <c r="AP16" s="22">
        <v>4144</v>
      </c>
      <c r="AQ16" s="22">
        <v>4165</v>
      </c>
      <c r="AR16" s="22">
        <v>4185</v>
      </c>
      <c r="AS16" s="22">
        <v>4205</v>
      </c>
      <c r="AT16" s="22">
        <v>4226</v>
      </c>
      <c r="AU16" s="22">
        <v>4246</v>
      </c>
      <c r="AV16" s="22">
        <v>4266</v>
      </c>
      <c r="AW16" s="22">
        <v>4287</v>
      </c>
      <c r="AX16" s="22">
        <v>4307</v>
      </c>
      <c r="AY16" s="22">
        <v>4327</v>
      </c>
      <c r="AZ16" s="22">
        <v>4348</v>
      </c>
      <c r="BA16" s="22">
        <v>4368</v>
      </c>
      <c r="BB16" s="22">
        <v>4388</v>
      </c>
      <c r="BC16" s="22">
        <v>4409</v>
      </c>
      <c r="BD16" s="22">
        <v>4429</v>
      </c>
      <c r="BE16" s="22">
        <v>4449</v>
      </c>
      <c r="BF16" s="22">
        <v>4469</v>
      </c>
      <c r="BG16" s="22">
        <v>4490</v>
      </c>
      <c r="BH16" s="22">
        <v>4510</v>
      </c>
      <c r="BI16" s="22">
        <v>4530</v>
      </c>
      <c r="BJ16" s="22">
        <v>4551</v>
      </c>
      <c r="BK16" s="22">
        <v>4571</v>
      </c>
      <c r="BL16" s="22">
        <v>4591</v>
      </c>
      <c r="BM16" s="22">
        <v>4612</v>
      </c>
      <c r="BN16" s="22">
        <v>4632</v>
      </c>
      <c r="BO16" s="22">
        <v>4652</v>
      </c>
      <c r="BP16" s="22">
        <v>4673</v>
      </c>
      <c r="BQ16" s="22">
        <v>4693</v>
      </c>
      <c r="BR16" s="22">
        <v>4713</v>
      </c>
      <c r="BS16" s="22">
        <v>4734</v>
      </c>
      <c r="BT16" s="22">
        <v>4754</v>
      </c>
      <c r="BU16" s="22">
        <v>4774</v>
      </c>
    </row>
    <row r="17" spans="1:73" s="26" customFormat="1" x14ac:dyDescent="0.3">
      <c r="A17" s="1"/>
      <c r="B17" s="1"/>
      <c r="C17" s="1"/>
      <c r="D17" s="1"/>
      <c r="E17" s="1"/>
      <c r="F17" s="1"/>
      <c r="G17" s="1"/>
      <c r="H17" s="2" t="s">
        <v>13</v>
      </c>
      <c r="I17" s="2" t="s">
        <v>40</v>
      </c>
      <c r="J17" s="1"/>
      <c r="K17" s="1"/>
      <c r="L17" s="1"/>
      <c r="M17" s="1"/>
      <c r="N17" s="1"/>
      <c r="O17" s="25" t="s">
        <v>220</v>
      </c>
      <c r="P17" s="22">
        <v>3616</v>
      </c>
      <c r="Q17" s="22">
        <v>3637</v>
      </c>
      <c r="R17" s="22">
        <v>3657</v>
      </c>
      <c r="S17" s="22">
        <v>3677</v>
      </c>
      <c r="T17" s="22">
        <v>3697</v>
      </c>
      <c r="U17" s="22">
        <v>3718</v>
      </c>
      <c r="V17" s="22">
        <v>3738</v>
      </c>
      <c r="W17" s="22">
        <v>3758</v>
      </c>
      <c r="X17" s="22">
        <v>3779</v>
      </c>
      <c r="Y17" s="22">
        <v>3799</v>
      </c>
      <c r="Z17" s="22">
        <v>3819</v>
      </c>
      <c r="AA17" s="22">
        <v>3840</v>
      </c>
      <c r="AB17" s="22">
        <v>3860</v>
      </c>
      <c r="AC17" s="22">
        <v>3880</v>
      </c>
      <c r="AD17" s="22">
        <v>3901</v>
      </c>
      <c r="AE17" s="22">
        <v>3921</v>
      </c>
      <c r="AF17" s="22">
        <v>3941</v>
      </c>
      <c r="AG17" s="22">
        <v>3962</v>
      </c>
      <c r="AH17" s="22">
        <v>3982</v>
      </c>
      <c r="AI17" s="22">
        <v>4002</v>
      </c>
      <c r="AJ17" s="22">
        <v>4023</v>
      </c>
      <c r="AK17" s="22">
        <v>4043</v>
      </c>
      <c r="AL17" s="22">
        <v>4063</v>
      </c>
      <c r="AM17" s="22">
        <v>4083</v>
      </c>
      <c r="AN17" s="22">
        <v>4104</v>
      </c>
      <c r="AO17" s="22">
        <v>4124</v>
      </c>
      <c r="AP17" s="22">
        <v>4144</v>
      </c>
      <c r="AQ17" s="22">
        <v>4165</v>
      </c>
      <c r="AR17" s="22">
        <v>4185</v>
      </c>
      <c r="AS17" s="22">
        <v>4205</v>
      </c>
      <c r="AT17" s="22">
        <v>4226</v>
      </c>
      <c r="AU17" s="22">
        <v>4246</v>
      </c>
      <c r="AV17" s="22">
        <v>4266</v>
      </c>
      <c r="AW17" s="22">
        <v>4287</v>
      </c>
      <c r="AX17" s="22">
        <v>4307</v>
      </c>
      <c r="AY17" s="22">
        <v>4327</v>
      </c>
      <c r="AZ17" s="22">
        <v>4348</v>
      </c>
      <c r="BA17" s="22">
        <v>4368</v>
      </c>
      <c r="BB17" s="22">
        <v>4388</v>
      </c>
      <c r="BC17" s="22">
        <v>4409</v>
      </c>
      <c r="BD17" s="22">
        <v>4429</v>
      </c>
      <c r="BE17" s="22">
        <v>4449</v>
      </c>
      <c r="BF17" s="22">
        <v>4469</v>
      </c>
      <c r="BG17" s="22">
        <v>4490</v>
      </c>
      <c r="BH17" s="22">
        <v>4510</v>
      </c>
      <c r="BI17" s="22">
        <v>4530</v>
      </c>
      <c r="BJ17" s="22">
        <v>4551</v>
      </c>
      <c r="BK17" s="22">
        <v>4571</v>
      </c>
      <c r="BL17" s="22">
        <v>4591</v>
      </c>
      <c r="BM17" s="22">
        <v>4612</v>
      </c>
      <c r="BN17" s="22">
        <v>4632</v>
      </c>
      <c r="BO17" s="22">
        <v>4652</v>
      </c>
      <c r="BP17" s="22">
        <v>4673</v>
      </c>
      <c r="BQ17" s="22">
        <v>4693</v>
      </c>
      <c r="BR17" s="22">
        <v>4713</v>
      </c>
      <c r="BS17" s="22">
        <v>4734</v>
      </c>
      <c r="BT17" s="22">
        <v>4754</v>
      </c>
      <c r="BU17" s="22">
        <v>4774</v>
      </c>
    </row>
    <row r="18" spans="1:73" s="26" customFormat="1" x14ac:dyDescent="0.3">
      <c r="A18" s="1"/>
      <c r="B18" s="1"/>
      <c r="C18" s="1"/>
      <c r="D18" s="1"/>
      <c r="E18" s="1"/>
      <c r="F18" s="1"/>
      <c r="G18" s="1"/>
      <c r="H18" s="2" t="s">
        <v>10</v>
      </c>
      <c r="I18" s="4" t="s">
        <v>37</v>
      </c>
      <c r="J18" s="1"/>
      <c r="K18" s="1"/>
      <c r="L18" s="1"/>
      <c r="M18" s="1"/>
      <c r="N18" s="1"/>
      <c r="O18" s="25" t="s">
        <v>221</v>
      </c>
      <c r="P18" s="22">
        <v>791</v>
      </c>
      <c r="Q18" s="22">
        <v>795</v>
      </c>
      <c r="R18" s="22">
        <v>798</v>
      </c>
      <c r="S18" s="22">
        <v>802</v>
      </c>
      <c r="T18" s="22">
        <v>806</v>
      </c>
      <c r="U18" s="22">
        <v>809</v>
      </c>
      <c r="V18" s="22">
        <v>813</v>
      </c>
      <c r="W18" s="22">
        <v>817</v>
      </c>
      <c r="X18" s="22">
        <v>820</v>
      </c>
      <c r="Y18" s="22">
        <v>824</v>
      </c>
      <c r="Z18" s="22">
        <v>828</v>
      </c>
      <c r="AA18" s="22">
        <v>831</v>
      </c>
      <c r="AB18" s="22">
        <v>835</v>
      </c>
      <c r="AC18" s="22">
        <v>839</v>
      </c>
      <c r="AD18" s="22">
        <v>842</v>
      </c>
      <c r="AE18" s="22">
        <v>846</v>
      </c>
      <c r="AF18" s="22">
        <v>850</v>
      </c>
      <c r="AG18" s="22">
        <v>853</v>
      </c>
      <c r="AH18" s="22">
        <v>857</v>
      </c>
      <c r="AI18" s="22">
        <v>861</v>
      </c>
      <c r="AJ18" s="22">
        <v>864</v>
      </c>
      <c r="AK18" s="22">
        <v>868</v>
      </c>
      <c r="AL18" s="22">
        <v>872</v>
      </c>
      <c r="AM18" s="22">
        <v>875</v>
      </c>
      <c r="AN18" s="22">
        <v>879</v>
      </c>
      <c r="AO18" s="22">
        <v>883</v>
      </c>
      <c r="AP18" s="22">
        <v>886</v>
      </c>
      <c r="AQ18" s="22">
        <v>890</v>
      </c>
      <c r="AR18" s="22">
        <v>894</v>
      </c>
      <c r="AS18" s="22">
        <v>897</v>
      </c>
      <c r="AT18" s="22">
        <v>901</v>
      </c>
      <c r="AU18" s="22">
        <v>905</v>
      </c>
      <c r="AV18" s="22">
        <v>908</v>
      </c>
      <c r="AW18" s="22">
        <v>912</v>
      </c>
      <c r="AX18" s="22">
        <v>916</v>
      </c>
      <c r="AY18" s="22">
        <v>919</v>
      </c>
      <c r="AZ18" s="22">
        <v>923</v>
      </c>
      <c r="BA18" s="22">
        <v>927</v>
      </c>
      <c r="BB18" s="22">
        <v>930</v>
      </c>
      <c r="BC18" s="22">
        <v>934</v>
      </c>
      <c r="BD18" s="22">
        <v>938</v>
      </c>
      <c r="BE18" s="22">
        <v>941</v>
      </c>
      <c r="BF18" s="22">
        <v>945</v>
      </c>
      <c r="BG18" s="22">
        <v>949</v>
      </c>
      <c r="BH18" s="22">
        <v>952</v>
      </c>
      <c r="BI18" s="22">
        <v>956</v>
      </c>
      <c r="BJ18" s="22">
        <v>960</v>
      </c>
      <c r="BK18" s="22">
        <v>963</v>
      </c>
      <c r="BL18" s="22">
        <v>967</v>
      </c>
      <c r="BM18" s="22">
        <v>971</v>
      </c>
      <c r="BN18" s="22">
        <v>974</v>
      </c>
      <c r="BO18" s="22">
        <v>978</v>
      </c>
      <c r="BP18" s="22">
        <v>982</v>
      </c>
      <c r="BQ18" s="22">
        <v>985</v>
      </c>
      <c r="BR18" s="22">
        <v>989</v>
      </c>
      <c r="BS18" s="22">
        <v>993</v>
      </c>
      <c r="BT18" s="22">
        <v>996</v>
      </c>
      <c r="BU18" s="22">
        <v>1000</v>
      </c>
    </row>
    <row r="19" spans="1:73" s="26" customFormat="1" x14ac:dyDescent="0.3">
      <c r="A19" s="1"/>
      <c r="B19" s="1"/>
      <c r="C19" s="1"/>
      <c r="D19" s="1"/>
      <c r="E19" s="1"/>
      <c r="F19" s="1"/>
      <c r="G19" s="1"/>
      <c r="H19" s="2" t="s">
        <v>148</v>
      </c>
      <c r="I19" s="2" t="s">
        <v>149</v>
      </c>
      <c r="J19" s="1"/>
      <c r="K19" s="1"/>
      <c r="L19" s="1"/>
      <c r="M19" s="1"/>
      <c r="N19" s="1"/>
      <c r="O19" s="25" t="s">
        <v>222</v>
      </c>
      <c r="P19" s="22">
        <v>1635</v>
      </c>
      <c r="Q19" s="22">
        <v>1639</v>
      </c>
      <c r="R19" s="22">
        <v>1643</v>
      </c>
      <c r="S19" s="22">
        <v>1646</v>
      </c>
      <c r="T19" s="22">
        <v>1650</v>
      </c>
      <c r="U19" s="22">
        <v>1654</v>
      </c>
      <c r="V19" s="22">
        <v>1657</v>
      </c>
      <c r="W19" s="22">
        <v>1661</v>
      </c>
      <c r="X19" s="22">
        <v>1665</v>
      </c>
      <c r="Y19" s="22">
        <v>1668</v>
      </c>
      <c r="Z19" s="22">
        <v>1672</v>
      </c>
      <c r="AA19" s="22">
        <v>1676</v>
      </c>
      <c r="AB19" s="22">
        <v>1679</v>
      </c>
      <c r="AC19" s="22">
        <v>1683</v>
      </c>
      <c r="AD19" s="22">
        <v>1687</v>
      </c>
      <c r="AE19" s="22">
        <v>1690</v>
      </c>
      <c r="AF19" s="22">
        <v>1694</v>
      </c>
      <c r="AG19" s="22">
        <v>1698</v>
      </c>
      <c r="AH19" s="22">
        <v>1701</v>
      </c>
      <c r="AI19" s="22">
        <v>1705</v>
      </c>
      <c r="AJ19" s="22">
        <v>1709</v>
      </c>
      <c r="AK19" s="22">
        <v>1712</v>
      </c>
      <c r="AL19" s="22">
        <v>1716</v>
      </c>
      <c r="AM19" s="22">
        <v>1720</v>
      </c>
      <c r="AN19" s="22">
        <v>1723</v>
      </c>
      <c r="AO19" s="22">
        <v>1727</v>
      </c>
      <c r="AP19" s="22">
        <v>1731</v>
      </c>
      <c r="AQ19" s="22">
        <v>1734</v>
      </c>
      <c r="AR19" s="22">
        <v>1738</v>
      </c>
      <c r="AS19" s="22">
        <v>1742</v>
      </c>
      <c r="AT19" s="22">
        <v>1745</v>
      </c>
      <c r="AU19" s="22">
        <v>1749</v>
      </c>
      <c r="AV19" s="22">
        <v>1753</v>
      </c>
      <c r="AW19" s="22">
        <v>1756</v>
      </c>
      <c r="AX19" s="22">
        <v>1760</v>
      </c>
      <c r="AY19" s="22">
        <v>1764</v>
      </c>
      <c r="AZ19" s="22">
        <v>1767</v>
      </c>
      <c r="BA19" s="22">
        <v>1771</v>
      </c>
      <c r="BB19" s="22">
        <v>1775</v>
      </c>
      <c r="BC19" s="22">
        <v>1778</v>
      </c>
      <c r="BD19" s="22">
        <v>1782</v>
      </c>
      <c r="BE19" s="22">
        <v>1786</v>
      </c>
      <c r="BF19" s="22">
        <v>1789</v>
      </c>
      <c r="BG19" s="22">
        <v>1793</v>
      </c>
      <c r="BH19" s="22">
        <v>1797</v>
      </c>
      <c r="BI19" s="22">
        <v>1800</v>
      </c>
      <c r="BJ19" s="22">
        <v>1804</v>
      </c>
      <c r="BK19" s="22">
        <v>1808</v>
      </c>
      <c r="BL19" s="22">
        <v>1811</v>
      </c>
      <c r="BM19" s="22">
        <v>1815</v>
      </c>
      <c r="BN19" s="22">
        <v>1819</v>
      </c>
      <c r="BO19" s="22">
        <v>1822</v>
      </c>
      <c r="BP19" s="22">
        <v>1826</v>
      </c>
      <c r="BQ19" s="22">
        <v>1830</v>
      </c>
      <c r="BR19" s="22">
        <v>1833</v>
      </c>
      <c r="BS19" s="22">
        <v>1837</v>
      </c>
      <c r="BT19" s="22">
        <v>1841</v>
      </c>
      <c r="BU19" s="22">
        <v>1844</v>
      </c>
    </row>
    <row r="20" spans="1:73" s="26" customFormat="1" x14ac:dyDescent="0.3">
      <c r="A20" s="1"/>
      <c r="B20" s="1"/>
      <c r="C20" s="1"/>
      <c r="D20" s="1"/>
      <c r="E20" s="1"/>
      <c r="F20" s="1"/>
      <c r="G20" s="1"/>
      <c r="H20" s="2">
        <v>0</v>
      </c>
      <c r="I20" s="2" t="s">
        <v>155</v>
      </c>
      <c r="J20" s="1"/>
      <c r="K20" s="1"/>
      <c r="L20" s="1"/>
      <c r="M20" s="1"/>
      <c r="N20" s="1"/>
      <c r="O20" s="25" t="s">
        <v>223</v>
      </c>
      <c r="P20" s="22">
        <v>1635</v>
      </c>
      <c r="Q20" s="22">
        <v>1639</v>
      </c>
      <c r="R20" s="22">
        <v>1643</v>
      </c>
      <c r="S20" s="22">
        <v>1646</v>
      </c>
      <c r="T20" s="22">
        <v>1650</v>
      </c>
      <c r="U20" s="22">
        <v>1654</v>
      </c>
      <c r="V20" s="22">
        <v>1657</v>
      </c>
      <c r="W20" s="22">
        <v>1661</v>
      </c>
      <c r="X20" s="22">
        <v>1665</v>
      </c>
      <c r="Y20" s="22">
        <v>1668</v>
      </c>
      <c r="Z20" s="22">
        <v>1672</v>
      </c>
      <c r="AA20" s="22">
        <v>1676</v>
      </c>
      <c r="AB20" s="22">
        <v>1679</v>
      </c>
      <c r="AC20" s="22">
        <v>1683</v>
      </c>
      <c r="AD20" s="22">
        <v>1687</v>
      </c>
      <c r="AE20" s="22">
        <v>1690</v>
      </c>
      <c r="AF20" s="22">
        <v>1694</v>
      </c>
      <c r="AG20" s="22">
        <v>1698</v>
      </c>
      <c r="AH20" s="22">
        <v>1701</v>
      </c>
      <c r="AI20" s="22">
        <v>1705</v>
      </c>
      <c r="AJ20" s="22">
        <v>1709</v>
      </c>
      <c r="AK20" s="22">
        <v>1712</v>
      </c>
      <c r="AL20" s="22">
        <v>1716</v>
      </c>
      <c r="AM20" s="22">
        <v>1720</v>
      </c>
      <c r="AN20" s="22">
        <v>1723</v>
      </c>
      <c r="AO20" s="22">
        <v>1727</v>
      </c>
      <c r="AP20" s="22">
        <v>1731</v>
      </c>
      <c r="AQ20" s="22">
        <v>1734</v>
      </c>
      <c r="AR20" s="22">
        <v>1738</v>
      </c>
      <c r="AS20" s="22">
        <v>1742</v>
      </c>
      <c r="AT20" s="22">
        <v>1745</v>
      </c>
      <c r="AU20" s="22">
        <v>1749</v>
      </c>
      <c r="AV20" s="22">
        <v>1753</v>
      </c>
      <c r="AW20" s="22">
        <v>1756</v>
      </c>
      <c r="AX20" s="22">
        <v>1760</v>
      </c>
      <c r="AY20" s="22">
        <v>1764</v>
      </c>
      <c r="AZ20" s="22">
        <v>1767</v>
      </c>
      <c r="BA20" s="22">
        <v>1771</v>
      </c>
      <c r="BB20" s="22">
        <v>1775</v>
      </c>
      <c r="BC20" s="22">
        <v>1778</v>
      </c>
      <c r="BD20" s="22">
        <v>1782</v>
      </c>
      <c r="BE20" s="22">
        <v>1786</v>
      </c>
      <c r="BF20" s="22">
        <v>1789</v>
      </c>
      <c r="BG20" s="22">
        <v>1793</v>
      </c>
      <c r="BH20" s="22">
        <v>1797</v>
      </c>
      <c r="BI20" s="22">
        <v>1800</v>
      </c>
      <c r="BJ20" s="22">
        <v>1804</v>
      </c>
      <c r="BK20" s="22">
        <v>1808</v>
      </c>
      <c r="BL20" s="22">
        <v>1811</v>
      </c>
      <c r="BM20" s="22">
        <v>1815</v>
      </c>
      <c r="BN20" s="22">
        <v>1819</v>
      </c>
      <c r="BO20" s="22">
        <v>1822</v>
      </c>
      <c r="BP20" s="22">
        <v>1826</v>
      </c>
      <c r="BQ20" s="22">
        <v>1830</v>
      </c>
      <c r="BR20" s="22">
        <v>1833</v>
      </c>
      <c r="BS20" s="22">
        <v>1837</v>
      </c>
      <c r="BT20" s="22">
        <v>1841</v>
      </c>
      <c r="BU20" s="22">
        <v>1844</v>
      </c>
    </row>
    <row r="21" spans="1:73" s="26" customFormat="1" x14ac:dyDescent="0.3">
      <c r="A21" s="1"/>
      <c r="B21" s="1"/>
      <c r="C21" s="1"/>
      <c r="D21" s="1"/>
      <c r="E21" s="1"/>
      <c r="F21" s="1"/>
      <c r="G21" s="1"/>
      <c r="H21" s="2">
        <v>2</v>
      </c>
      <c r="I21" s="2"/>
      <c r="J21" s="1"/>
      <c r="K21" s="1"/>
      <c r="L21" s="1"/>
      <c r="M21" s="1"/>
      <c r="N21" s="1"/>
      <c r="O21" s="25" t="s">
        <v>224</v>
      </c>
      <c r="P21" s="22">
        <v>1635</v>
      </c>
      <c r="Q21" s="22">
        <v>1639</v>
      </c>
      <c r="R21" s="22">
        <v>1643</v>
      </c>
      <c r="S21" s="22">
        <v>1646</v>
      </c>
      <c r="T21" s="22">
        <v>1650</v>
      </c>
      <c r="U21" s="22">
        <v>1654</v>
      </c>
      <c r="V21" s="22">
        <v>1657</v>
      </c>
      <c r="W21" s="22">
        <v>1661</v>
      </c>
      <c r="X21" s="22">
        <v>1665</v>
      </c>
      <c r="Y21" s="22">
        <v>1668</v>
      </c>
      <c r="Z21" s="22">
        <v>1672</v>
      </c>
      <c r="AA21" s="22">
        <v>1676</v>
      </c>
      <c r="AB21" s="22">
        <v>1679</v>
      </c>
      <c r="AC21" s="22">
        <v>1683</v>
      </c>
      <c r="AD21" s="22">
        <v>1687</v>
      </c>
      <c r="AE21" s="22">
        <v>1690</v>
      </c>
      <c r="AF21" s="22">
        <v>1694</v>
      </c>
      <c r="AG21" s="22">
        <v>1698</v>
      </c>
      <c r="AH21" s="22">
        <v>1701</v>
      </c>
      <c r="AI21" s="22">
        <v>1705</v>
      </c>
      <c r="AJ21" s="22">
        <v>1709</v>
      </c>
      <c r="AK21" s="22">
        <v>1712</v>
      </c>
      <c r="AL21" s="22">
        <v>1716</v>
      </c>
      <c r="AM21" s="22">
        <v>1720</v>
      </c>
      <c r="AN21" s="22">
        <v>1723</v>
      </c>
      <c r="AO21" s="22">
        <v>1727</v>
      </c>
      <c r="AP21" s="22">
        <v>1731</v>
      </c>
      <c r="AQ21" s="22">
        <v>1734</v>
      </c>
      <c r="AR21" s="22">
        <v>1738</v>
      </c>
      <c r="AS21" s="22">
        <v>1742</v>
      </c>
      <c r="AT21" s="22">
        <v>1745</v>
      </c>
      <c r="AU21" s="22">
        <v>1749</v>
      </c>
      <c r="AV21" s="22">
        <v>1753</v>
      </c>
      <c r="AW21" s="22">
        <v>1756</v>
      </c>
      <c r="AX21" s="22">
        <v>1760</v>
      </c>
      <c r="AY21" s="22">
        <v>1764</v>
      </c>
      <c r="AZ21" s="22">
        <v>1767</v>
      </c>
      <c r="BA21" s="22">
        <v>1771</v>
      </c>
      <c r="BB21" s="22">
        <v>1775</v>
      </c>
      <c r="BC21" s="22">
        <v>1778</v>
      </c>
      <c r="BD21" s="22">
        <v>1782</v>
      </c>
      <c r="BE21" s="22">
        <v>1786</v>
      </c>
      <c r="BF21" s="22">
        <v>1789</v>
      </c>
      <c r="BG21" s="22">
        <v>1793</v>
      </c>
      <c r="BH21" s="22">
        <v>1797</v>
      </c>
      <c r="BI21" s="22">
        <v>1800</v>
      </c>
      <c r="BJ21" s="22">
        <v>1804</v>
      </c>
      <c r="BK21" s="22">
        <v>1808</v>
      </c>
      <c r="BL21" s="22">
        <v>1811</v>
      </c>
      <c r="BM21" s="22">
        <v>1815</v>
      </c>
      <c r="BN21" s="22">
        <v>1819</v>
      </c>
      <c r="BO21" s="22">
        <v>1822</v>
      </c>
      <c r="BP21" s="22">
        <v>1826</v>
      </c>
      <c r="BQ21" s="22">
        <v>1830</v>
      </c>
      <c r="BR21" s="22">
        <v>1833</v>
      </c>
      <c r="BS21" s="22">
        <v>1837</v>
      </c>
      <c r="BT21" s="22">
        <v>1841</v>
      </c>
      <c r="BU21" s="22">
        <v>1844</v>
      </c>
    </row>
    <row r="22" spans="1:73" s="26" customFormat="1" x14ac:dyDescent="0.3">
      <c r="A22" s="1"/>
      <c r="B22" s="1"/>
      <c r="C22" s="1"/>
      <c r="D22" s="1"/>
      <c r="E22" s="1"/>
      <c r="F22" s="1"/>
      <c r="G22" s="1"/>
      <c r="H22" s="2">
        <v>3</v>
      </c>
      <c r="I22" s="2" t="s">
        <v>156</v>
      </c>
      <c r="J22" s="1"/>
      <c r="K22" s="1"/>
      <c r="L22" s="1"/>
      <c r="M22" s="1"/>
      <c r="N22" s="1"/>
      <c r="O22" s="25" t="s">
        <v>225</v>
      </c>
      <c r="P22" s="22">
        <v>1635</v>
      </c>
      <c r="Q22" s="22">
        <v>1639</v>
      </c>
      <c r="R22" s="22">
        <v>1643</v>
      </c>
      <c r="S22" s="22">
        <v>1646</v>
      </c>
      <c r="T22" s="22">
        <v>1650</v>
      </c>
      <c r="U22" s="22">
        <v>1654</v>
      </c>
      <c r="V22" s="22">
        <v>1657</v>
      </c>
      <c r="W22" s="22">
        <v>1661</v>
      </c>
      <c r="X22" s="22">
        <v>1665</v>
      </c>
      <c r="Y22" s="22">
        <v>1668</v>
      </c>
      <c r="Z22" s="22">
        <v>1672</v>
      </c>
      <c r="AA22" s="22">
        <v>1676</v>
      </c>
      <c r="AB22" s="22">
        <v>1679</v>
      </c>
      <c r="AC22" s="22">
        <v>1683</v>
      </c>
      <c r="AD22" s="22">
        <v>1687</v>
      </c>
      <c r="AE22" s="22">
        <v>1690</v>
      </c>
      <c r="AF22" s="22">
        <v>1694</v>
      </c>
      <c r="AG22" s="22">
        <v>1698</v>
      </c>
      <c r="AH22" s="22">
        <v>1701</v>
      </c>
      <c r="AI22" s="22">
        <v>1705</v>
      </c>
      <c r="AJ22" s="22">
        <v>1709</v>
      </c>
      <c r="AK22" s="22">
        <v>1712</v>
      </c>
      <c r="AL22" s="22">
        <v>1716</v>
      </c>
      <c r="AM22" s="22">
        <v>1720</v>
      </c>
      <c r="AN22" s="22">
        <v>1723</v>
      </c>
      <c r="AO22" s="22">
        <v>1727</v>
      </c>
      <c r="AP22" s="22">
        <v>1731</v>
      </c>
      <c r="AQ22" s="22">
        <v>1734</v>
      </c>
      <c r="AR22" s="22">
        <v>1738</v>
      </c>
      <c r="AS22" s="22">
        <v>1742</v>
      </c>
      <c r="AT22" s="22">
        <v>1745</v>
      </c>
      <c r="AU22" s="22">
        <v>1749</v>
      </c>
      <c r="AV22" s="22">
        <v>1753</v>
      </c>
      <c r="AW22" s="22">
        <v>1756</v>
      </c>
      <c r="AX22" s="22">
        <v>1760</v>
      </c>
      <c r="AY22" s="22">
        <v>1764</v>
      </c>
      <c r="AZ22" s="22">
        <v>1767</v>
      </c>
      <c r="BA22" s="22">
        <v>1771</v>
      </c>
      <c r="BB22" s="22">
        <v>1775</v>
      </c>
      <c r="BC22" s="22">
        <v>1778</v>
      </c>
      <c r="BD22" s="22">
        <v>1782</v>
      </c>
      <c r="BE22" s="22">
        <v>1786</v>
      </c>
      <c r="BF22" s="22">
        <v>1789</v>
      </c>
      <c r="BG22" s="22">
        <v>1793</v>
      </c>
      <c r="BH22" s="22">
        <v>1797</v>
      </c>
      <c r="BI22" s="22">
        <v>1800</v>
      </c>
      <c r="BJ22" s="22">
        <v>1804</v>
      </c>
      <c r="BK22" s="22">
        <v>1808</v>
      </c>
      <c r="BL22" s="22">
        <v>1811</v>
      </c>
      <c r="BM22" s="22">
        <v>1815</v>
      </c>
      <c r="BN22" s="22">
        <v>1819</v>
      </c>
      <c r="BO22" s="22">
        <v>1822</v>
      </c>
      <c r="BP22" s="22">
        <v>1826</v>
      </c>
      <c r="BQ22" s="22">
        <v>1830</v>
      </c>
      <c r="BR22" s="22">
        <v>1833</v>
      </c>
      <c r="BS22" s="22">
        <v>1837</v>
      </c>
      <c r="BT22" s="22">
        <v>1841</v>
      </c>
      <c r="BU22" s="22">
        <v>1844</v>
      </c>
    </row>
    <row r="23" spans="1:73" x14ac:dyDescent="0.3">
      <c r="H23" s="2">
        <v>4</v>
      </c>
      <c r="I23" s="2"/>
    </row>
    <row r="24" spans="1:73" x14ac:dyDescent="0.3">
      <c r="H24" s="2">
        <v>5</v>
      </c>
      <c r="I24" s="2" t="s">
        <v>157</v>
      </c>
    </row>
    <row r="25" spans="1:73" x14ac:dyDescent="0.3">
      <c r="H25" s="2">
        <v>7</v>
      </c>
      <c r="I25" s="2" t="s">
        <v>158</v>
      </c>
    </row>
    <row r="26" spans="1:73" x14ac:dyDescent="0.3">
      <c r="H26" s="2">
        <v>10</v>
      </c>
      <c r="I26" s="2" t="s">
        <v>159</v>
      </c>
    </row>
  </sheetData>
  <customSheetViews>
    <customSheetView guid="{52C17BD0-9019-43AE-9B1C-4B881AB3FBFD}" state="hidden" topLeftCell="N1">
      <selection activeCell="D13" sqref="D13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A1:N21"/>
  <sheetViews>
    <sheetView workbookViewId="0"/>
  </sheetViews>
  <sheetFormatPr defaultColWidth="9.33203125" defaultRowHeight="14.4" x14ac:dyDescent="0.3"/>
  <cols>
    <col min="1" max="1" width="18.5546875" style="1" customWidth="1"/>
    <col min="2" max="3" width="9.33203125" style="1"/>
    <col min="4" max="4" width="22.33203125" style="1" customWidth="1"/>
    <col min="5" max="5" width="9.6640625" style="1" customWidth="1"/>
    <col min="6" max="6" width="47.5546875" style="1" customWidth="1"/>
    <col min="7" max="8" width="9.33203125" style="1"/>
    <col min="9" max="9" width="9.44140625" style="1" customWidth="1"/>
    <col min="10" max="16384" width="9.33203125" style="1"/>
  </cols>
  <sheetData>
    <row r="1" spans="1:14" x14ac:dyDescent="0.3">
      <c r="A1" s="3" t="e">
        <f>Generator!#REF!</f>
        <v>#REF!</v>
      </c>
      <c r="B1" s="3" t="s">
        <v>20</v>
      </c>
      <c r="H1" s="1" t="s">
        <v>33</v>
      </c>
    </row>
    <row r="2" spans="1:14" x14ac:dyDescent="0.3">
      <c r="A2" s="3" t="e">
        <f>VLOOKUP(A1,D4:F8,2,FALSE)</f>
        <v>#REF!</v>
      </c>
      <c r="B2" s="3" t="s">
        <v>21</v>
      </c>
      <c r="H2" s="1" t="e">
        <f>'A-Type'!A1</f>
        <v>#REF!</v>
      </c>
    </row>
    <row r="3" spans="1:14" x14ac:dyDescent="0.3">
      <c r="A3" s="3" t="e">
        <f>VLOOKUP(A1,D4:F8,3,FALSE)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26</v>
      </c>
      <c r="I3" s="5" t="s">
        <v>11</v>
      </c>
      <c r="J3" s="5" t="s">
        <v>12</v>
      </c>
      <c r="K3" s="4"/>
      <c r="L3" s="4"/>
      <c r="M3" s="4"/>
    </row>
    <row r="4" spans="1:14" x14ac:dyDescent="0.3">
      <c r="C4" s="1">
        <v>2</v>
      </c>
      <c r="D4" s="4" t="e">
        <f>IF(E4&lt;&gt;0,VLOOKUP(E4,$H$14:$I$18,2,FALSE),"")</f>
        <v>#REF!</v>
      </c>
      <c r="E4" s="2" t="e">
        <f>VLOOKUP($H$2,$H$3:$M$12,C4,FALSE)</f>
        <v>#REF!</v>
      </c>
      <c r="F4" s="4" t="e">
        <f>VLOOKUP(E4,$H$14:$J$18,3,FALSE)</f>
        <v>#REF!</v>
      </c>
      <c r="H4" s="2" t="s">
        <v>27</v>
      </c>
      <c r="I4" s="5" t="s">
        <v>11</v>
      </c>
      <c r="J4" s="5" t="s">
        <v>12</v>
      </c>
      <c r="K4" s="5"/>
      <c r="L4" s="5"/>
      <c r="M4" s="5"/>
    </row>
    <row r="5" spans="1:14" x14ac:dyDescent="0.3">
      <c r="C5" s="1">
        <v>3</v>
      </c>
      <c r="D5" s="4" t="e">
        <f t="shared" ref="D5:D8" si="0">IF(E5&lt;&gt;0,VLOOKUP(E5,$H$14:$I$18,2,FALSE),"")</f>
        <v>#REF!</v>
      </c>
      <c r="E5" s="2" t="e">
        <f t="shared" ref="E5:E8" si="1">VLOOKUP($H$2,$H$3:$M$12,C5,FALSE)</f>
        <v>#REF!</v>
      </c>
      <c r="F5" s="4" t="e">
        <f t="shared" ref="F5:F6" si="2">VLOOKUP(E5,$H$14:$J$18,3,FALSE)</f>
        <v>#REF!</v>
      </c>
      <c r="H5" s="2" t="s">
        <v>51</v>
      </c>
      <c r="I5" s="5" t="s">
        <v>11</v>
      </c>
      <c r="J5" s="5" t="s">
        <v>12</v>
      </c>
      <c r="K5" s="5"/>
      <c r="L5" s="5"/>
      <c r="M5" s="5"/>
    </row>
    <row r="6" spans="1:14" x14ac:dyDescent="0.3">
      <c r="C6" s="1">
        <v>4</v>
      </c>
      <c r="D6" s="4" t="e">
        <f t="shared" si="0"/>
        <v>#REF!</v>
      </c>
      <c r="E6" s="2" t="e">
        <f t="shared" si="1"/>
        <v>#REF!</v>
      </c>
      <c r="F6" s="4" t="e">
        <f t="shared" si="2"/>
        <v>#REF!</v>
      </c>
      <c r="H6" s="2" t="s">
        <v>50</v>
      </c>
      <c r="I6" s="5" t="s">
        <v>11</v>
      </c>
      <c r="J6" s="5"/>
      <c r="K6" s="5"/>
      <c r="L6" s="5"/>
      <c r="M6" s="5"/>
    </row>
    <row r="7" spans="1:14" x14ac:dyDescent="0.3">
      <c r="C7" s="1">
        <v>5</v>
      </c>
      <c r="D7" s="4" t="e">
        <f t="shared" si="0"/>
        <v>#REF!</v>
      </c>
      <c r="E7" s="2" t="e">
        <f t="shared" si="1"/>
        <v>#REF!</v>
      </c>
      <c r="F7" s="4" t="e">
        <f t="shared" ref="F7:F8" si="3">VLOOKUP(E7,$H$14:$J$18,3,FALSE)</f>
        <v>#REF!</v>
      </c>
      <c r="H7" s="2" t="s">
        <v>49</v>
      </c>
      <c r="I7" s="5" t="s">
        <v>11</v>
      </c>
      <c r="J7" s="5"/>
      <c r="K7" s="5"/>
      <c r="L7" s="5"/>
      <c r="M7" s="5"/>
    </row>
    <row r="8" spans="1:14" x14ac:dyDescent="0.3">
      <c r="C8" s="1">
        <v>6</v>
      </c>
      <c r="D8" s="4" t="e">
        <f t="shared" si="0"/>
        <v>#REF!</v>
      </c>
      <c r="E8" s="2" t="e">
        <f t="shared" si="1"/>
        <v>#REF!</v>
      </c>
      <c r="F8" s="4" t="e">
        <f t="shared" si="3"/>
        <v>#REF!</v>
      </c>
      <c r="H8" s="2" t="s">
        <v>48</v>
      </c>
      <c r="I8" s="5" t="s">
        <v>11</v>
      </c>
      <c r="J8" s="5"/>
      <c r="K8" s="5"/>
      <c r="L8" s="5"/>
      <c r="M8" s="5"/>
    </row>
    <row r="9" spans="1:14" x14ac:dyDescent="0.3">
      <c r="H9" s="2" t="s">
        <v>47</v>
      </c>
      <c r="I9" s="5" t="s">
        <v>11</v>
      </c>
      <c r="J9" s="5"/>
      <c r="K9" s="5"/>
      <c r="L9" s="5"/>
      <c r="M9" s="5"/>
    </row>
    <row r="10" spans="1:14" x14ac:dyDescent="0.3">
      <c r="H10" s="2" t="s">
        <v>46</v>
      </c>
      <c r="I10" s="5" t="s">
        <v>11</v>
      </c>
      <c r="J10" s="5"/>
      <c r="K10" s="5"/>
      <c r="L10" s="5"/>
      <c r="M10" s="5"/>
    </row>
    <row r="11" spans="1:14" x14ac:dyDescent="0.3">
      <c r="H11" s="2" t="s">
        <v>151</v>
      </c>
      <c r="I11" s="5" t="s">
        <v>11</v>
      </c>
      <c r="J11" s="5" t="s">
        <v>12</v>
      </c>
      <c r="K11" s="5"/>
      <c r="L11" s="5"/>
      <c r="M11" s="5"/>
    </row>
    <row r="12" spans="1:14" x14ac:dyDescent="0.3">
      <c r="H12" s="2" t="s">
        <v>153</v>
      </c>
      <c r="I12" s="5" t="s">
        <v>92</v>
      </c>
      <c r="J12" s="5" t="s">
        <v>13</v>
      </c>
      <c r="K12" s="5"/>
      <c r="L12" s="5"/>
      <c r="M12" s="5"/>
    </row>
    <row r="14" spans="1:14" x14ac:dyDescent="0.3">
      <c r="H14" s="2" t="s">
        <v>11</v>
      </c>
      <c r="I14" s="4" t="s">
        <v>42</v>
      </c>
      <c r="J14" s="130" t="s">
        <v>65</v>
      </c>
      <c r="K14" s="130"/>
      <c r="L14" s="130"/>
      <c r="M14" s="130"/>
      <c r="N14" s="130"/>
    </row>
    <row r="15" spans="1:14" x14ac:dyDescent="0.3">
      <c r="H15" s="2" t="s">
        <v>12</v>
      </c>
      <c r="I15" s="4" t="s">
        <v>43</v>
      </c>
      <c r="J15" s="130" t="s">
        <v>63</v>
      </c>
      <c r="K15" s="130"/>
      <c r="L15" s="130"/>
      <c r="M15" s="130"/>
      <c r="N15" s="130"/>
    </row>
    <row r="16" spans="1:14" x14ac:dyDescent="0.3">
      <c r="H16" s="2" t="s">
        <v>18</v>
      </c>
      <c r="I16" s="4" t="s">
        <v>44</v>
      </c>
      <c r="J16" s="130" t="s">
        <v>64</v>
      </c>
      <c r="K16" s="130"/>
      <c r="L16" s="130"/>
      <c r="M16" s="130"/>
      <c r="N16" s="130"/>
    </row>
    <row r="17" spans="8:14" x14ac:dyDescent="0.3">
      <c r="H17" s="2" t="s">
        <v>92</v>
      </c>
      <c r="I17" s="4" t="s">
        <v>144</v>
      </c>
      <c r="J17" s="130" t="s">
        <v>147</v>
      </c>
      <c r="K17" s="130"/>
      <c r="L17" s="130"/>
      <c r="M17" s="130"/>
      <c r="N17" s="130"/>
    </row>
    <row r="18" spans="8:14" x14ac:dyDescent="0.3">
      <c r="H18" s="2" t="s">
        <v>13</v>
      </c>
      <c r="I18" s="4" t="s">
        <v>145</v>
      </c>
      <c r="J18" s="130" t="s">
        <v>146</v>
      </c>
      <c r="K18" s="130"/>
      <c r="L18" s="130"/>
      <c r="M18" s="130"/>
      <c r="N18" s="130"/>
    </row>
    <row r="19" spans="8:14" x14ac:dyDescent="0.3">
      <c r="H19" s="2"/>
      <c r="I19" s="6"/>
      <c r="J19" s="130"/>
      <c r="K19" s="130"/>
      <c r="L19" s="130"/>
      <c r="M19" s="130"/>
      <c r="N19" s="130"/>
    </row>
    <row r="20" spans="8:14" x14ac:dyDescent="0.3">
      <c r="H20" s="2"/>
      <c r="I20" s="6"/>
      <c r="J20" s="130"/>
      <c r="K20" s="130"/>
      <c r="L20" s="130"/>
      <c r="M20" s="130"/>
      <c r="N20" s="130"/>
    </row>
    <row r="21" spans="8:14" x14ac:dyDescent="0.3">
      <c r="H21" s="2"/>
      <c r="I21" s="6"/>
      <c r="J21" s="130"/>
      <c r="K21" s="130"/>
      <c r="L21" s="130"/>
      <c r="M21" s="130"/>
      <c r="N21" s="130"/>
    </row>
  </sheetData>
  <customSheetViews>
    <customSheetView guid="{52C17BD0-9019-43AE-9B1C-4B881AB3FBFD}" state="hidden">
      <selection activeCell="D13" sqref="D13"/>
      <pageMargins left="0.7" right="0.7" top="0.75" bottom="0.75" header="0.3" footer="0.3"/>
    </customSheetView>
  </customSheetViews>
  <mergeCells count="8">
    <mergeCell ref="J18:N18"/>
    <mergeCell ref="J19:N19"/>
    <mergeCell ref="J20:N20"/>
    <mergeCell ref="J21:N21"/>
    <mergeCell ref="J14:N14"/>
    <mergeCell ref="J15:N15"/>
    <mergeCell ref="J16:N16"/>
    <mergeCell ref="J17:N17"/>
  </mergeCell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1"/>
  <sheetViews>
    <sheetView workbookViewId="0"/>
  </sheetViews>
  <sheetFormatPr defaultColWidth="9.33203125" defaultRowHeight="14.4" x14ac:dyDescent="0.3"/>
  <cols>
    <col min="1" max="1" width="18.5546875" style="1" customWidth="1"/>
    <col min="2" max="3" width="9.33203125" style="1"/>
    <col min="4" max="4" width="22.33203125" style="1" customWidth="1"/>
    <col min="5" max="5" width="9.6640625" style="1" customWidth="1"/>
    <col min="6" max="6" width="47.5546875" style="1" customWidth="1"/>
    <col min="7" max="8" width="9.33203125" style="1"/>
    <col min="9" max="9" width="9.44140625" style="1" customWidth="1"/>
    <col min="10" max="16384" width="9.33203125" style="1"/>
  </cols>
  <sheetData>
    <row r="1" spans="1:14" x14ac:dyDescent="0.3">
      <c r="A1" s="3" t="e">
        <f>Generator!#REF!</f>
        <v>#REF!</v>
      </c>
      <c r="B1" s="3" t="s">
        <v>20</v>
      </c>
      <c r="H1" s="1" t="s">
        <v>33</v>
      </c>
    </row>
    <row r="2" spans="1:14" x14ac:dyDescent="0.3">
      <c r="A2" s="3" t="e">
        <f>VLOOKUP(A1,D4:F8,2,FALSE)</f>
        <v>#REF!</v>
      </c>
      <c r="B2" s="3" t="s">
        <v>21</v>
      </c>
      <c r="H2" s="1" t="e">
        <f>'RA-Series'!A1</f>
        <v>#REF!</v>
      </c>
    </row>
    <row r="3" spans="1:14" x14ac:dyDescent="0.3">
      <c r="A3" s="3" t="e">
        <f>VLOOKUP(A1,D4:F8,3,FALSE)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160</v>
      </c>
      <c r="I3" s="5" t="s">
        <v>11</v>
      </c>
      <c r="J3" s="5" t="s">
        <v>12</v>
      </c>
      <c r="K3" s="4" t="s">
        <v>13</v>
      </c>
      <c r="L3" s="4"/>
      <c r="M3" s="4"/>
    </row>
    <row r="4" spans="1:14" x14ac:dyDescent="0.3">
      <c r="C4" s="1">
        <v>2</v>
      </c>
      <c r="D4" s="4" t="e">
        <f>IF(E4&lt;&gt;0,VLOOKUP(E4,$H$14:$I$18,2,FALSE),"")</f>
        <v>#REF!</v>
      </c>
      <c r="E4" s="2" t="e">
        <f>VLOOKUP($H$2,$H$3:$M$12,C4,FALSE)</f>
        <v>#REF!</v>
      </c>
      <c r="F4" s="4" t="e">
        <f>VLOOKUP(E4,$H$14:$J$18,3,FALSE)</f>
        <v>#REF!</v>
      </c>
      <c r="H4" s="2"/>
      <c r="I4" s="5"/>
      <c r="J4" s="5"/>
      <c r="K4" s="4"/>
      <c r="L4" s="4"/>
      <c r="M4" s="4"/>
    </row>
    <row r="5" spans="1:14" x14ac:dyDescent="0.3">
      <c r="C5" s="1">
        <v>3</v>
      </c>
      <c r="D5" s="4" t="e">
        <f t="shared" ref="D5:D8" si="0">IF(E5&lt;&gt;0,VLOOKUP(E5,$H$14:$I$18,2,FALSE),"")</f>
        <v>#REF!</v>
      </c>
      <c r="E5" s="2" t="e">
        <f t="shared" ref="E5:E8" si="1">VLOOKUP($H$2,$H$3:$M$12,C5,FALSE)</f>
        <v>#REF!</v>
      </c>
      <c r="F5" s="4" t="e">
        <f t="shared" ref="F5:F8" si="2">VLOOKUP(E5,$H$14:$J$18,3,FALSE)</f>
        <v>#REF!</v>
      </c>
      <c r="H5" s="17"/>
      <c r="I5" s="19"/>
      <c r="J5" s="19"/>
      <c r="K5" s="19"/>
      <c r="L5" s="19"/>
      <c r="M5" s="19"/>
    </row>
    <row r="6" spans="1:14" x14ac:dyDescent="0.3">
      <c r="C6" s="1">
        <v>4</v>
      </c>
      <c r="D6" s="4" t="e">
        <f t="shared" si="0"/>
        <v>#REF!</v>
      </c>
      <c r="E6" s="2" t="e">
        <f t="shared" si="1"/>
        <v>#REF!</v>
      </c>
      <c r="F6" s="4" t="e">
        <f t="shared" si="2"/>
        <v>#REF!</v>
      </c>
      <c r="H6" s="17"/>
      <c r="I6" s="19"/>
      <c r="J6" s="19"/>
      <c r="K6" s="19"/>
      <c r="L6" s="19"/>
      <c r="M6" s="19"/>
    </row>
    <row r="7" spans="1:14" x14ac:dyDescent="0.3">
      <c r="C7" s="1">
        <v>5</v>
      </c>
      <c r="D7" s="4" t="e">
        <f t="shared" si="0"/>
        <v>#REF!</v>
      </c>
      <c r="E7" s="2" t="e">
        <f t="shared" si="1"/>
        <v>#REF!</v>
      </c>
      <c r="F7" s="4" t="e">
        <f t="shared" si="2"/>
        <v>#REF!</v>
      </c>
      <c r="H7" s="17"/>
      <c r="I7" s="19"/>
      <c r="J7" s="19"/>
      <c r="K7" s="19"/>
      <c r="L7" s="19"/>
      <c r="M7" s="19"/>
    </row>
    <row r="8" spans="1:14" x14ac:dyDescent="0.3">
      <c r="C8" s="1">
        <v>6</v>
      </c>
      <c r="D8" s="4" t="e">
        <f t="shared" si="0"/>
        <v>#REF!</v>
      </c>
      <c r="E8" s="2" t="e">
        <f t="shared" si="1"/>
        <v>#REF!</v>
      </c>
      <c r="F8" s="4" t="e">
        <f t="shared" si="2"/>
        <v>#REF!</v>
      </c>
      <c r="H8" s="17"/>
      <c r="I8" s="19"/>
      <c r="J8" s="19"/>
      <c r="K8" s="19"/>
      <c r="L8" s="19"/>
      <c r="M8" s="19"/>
    </row>
    <row r="9" spans="1:14" x14ac:dyDescent="0.3">
      <c r="C9" s="1">
        <v>7</v>
      </c>
      <c r="D9" s="4"/>
      <c r="E9" s="2"/>
      <c r="F9" s="4"/>
      <c r="H9" s="17"/>
      <c r="I9" s="19"/>
      <c r="J9" s="19"/>
      <c r="K9" s="19"/>
      <c r="L9" s="19"/>
      <c r="M9" s="19"/>
    </row>
    <row r="10" spans="1:14" x14ac:dyDescent="0.3">
      <c r="H10" s="17"/>
      <c r="I10" s="19"/>
      <c r="J10" s="19"/>
      <c r="K10" s="19"/>
      <c r="L10" s="19"/>
      <c r="M10" s="19"/>
    </row>
    <row r="11" spans="1:14" x14ac:dyDescent="0.3">
      <c r="H11" s="17"/>
      <c r="I11" s="19"/>
      <c r="J11" s="19"/>
      <c r="K11" s="19"/>
      <c r="L11" s="19"/>
      <c r="M11" s="19"/>
    </row>
    <row r="12" spans="1:14" x14ac:dyDescent="0.3">
      <c r="H12" s="17"/>
      <c r="I12" s="19"/>
      <c r="J12" s="19"/>
      <c r="K12" s="19"/>
      <c r="L12" s="19"/>
      <c r="M12" s="19"/>
    </row>
    <row r="14" spans="1:14" x14ac:dyDescent="0.3">
      <c r="H14" s="2" t="s">
        <v>11</v>
      </c>
      <c r="I14" s="4" t="s">
        <v>42</v>
      </c>
      <c r="J14" s="130" t="s">
        <v>65</v>
      </c>
      <c r="K14" s="130"/>
      <c r="L14" s="130"/>
      <c r="M14" s="130"/>
      <c r="N14" s="130"/>
    </row>
    <row r="15" spans="1:14" x14ac:dyDescent="0.3">
      <c r="H15" s="2" t="s">
        <v>12</v>
      </c>
      <c r="I15" s="4" t="s">
        <v>43</v>
      </c>
      <c r="J15" s="130" t="s">
        <v>63</v>
      </c>
      <c r="K15" s="130"/>
      <c r="L15" s="130"/>
      <c r="M15" s="130"/>
      <c r="N15" s="130"/>
    </row>
    <row r="16" spans="1:14" x14ac:dyDescent="0.3">
      <c r="H16" s="2" t="s">
        <v>18</v>
      </c>
      <c r="I16" s="4" t="s">
        <v>44</v>
      </c>
      <c r="J16" s="130" t="s">
        <v>64</v>
      </c>
      <c r="K16" s="130"/>
      <c r="L16" s="130"/>
      <c r="M16" s="130"/>
      <c r="N16" s="130"/>
    </row>
    <row r="17" spans="8:14" x14ac:dyDescent="0.3">
      <c r="H17" s="2" t="s">
        <v>92</v>
      </c>
      <c r="I17" s="4" t="s">
        <v>144</v>
      </c>
      <c r="J17" s="130" t="s">
        <v>147</v>
      </c>
      <c r="K17" s="130"/>
      <c r="L17" s="130"/>
      <c r="M17" s="130"/>
      <c r="N17" s="130"/>
    </row>
    <row r="18" spans="8:14" x14ac:dyDescent="0.3">
      <c r="H18" s="2" t="s">
        <v>13</v>
      </c>
      <c r="I18" s="4" t="s">
        <v>145</v>
      </c>
      <c r="J18" s="130" t="s">
        <v>146</v>
      </c>
      <c r="K18" s="130"/>
      <c r="L18" s="130"/>
      <c r="M18" s="130"/>
      <c r="N18" s="130"/>
    </row>
    <row r="19" spans="8:14" x14ac:dyDescent="0.3">
      <c r="H19" s="2"/>
      <c r="I19" s="6"/>
      <c r="J19" s="130"/>
      <c r="K19" s="130"/>
      <c r="L19" s="130"/>
      <c r="M19" s="130"/>
      <c r="N19" s="130"/>
    </row>
    <row r="20" spans="8:14" x14ac:dyDescent="0.3">
      <c r="H20" s="2"/>
      <c r="I20" s="6"/>
      <c r="J20" s="130"/>
      <c r="K20" s="130"/>
      <c r="L20" s="130"/>
      <c r="M20" s="130"/>
      <c r="N20" s="130"/>
    </row>
    <row r="21" spans="8:14" x14ac:dyDescent="0.3">
      <c r="H21" s="2"/>
      <c r="I21" s="6"/>
      <c r="J21" s="130"/>
      <c r="K21" s="130"/>
      <c r="L21" s="130"/>
      <c r="M21" s="130"/>
      <c r="N21" s="130"/>
    </row>
  </sheetData>
  <mergeCells count="8">
    <mergeCell ref="J20:N20"/>
    <mergeCell ref="J21:N21"/>
    <mergeCell ref="J14:N14"/>
    <mergeCell ref="J15:N15"/>
    <mergeCell ref="J16:N16"/>
    <mergeCell ref="J17:N17"/>
    <mergeCell ref="J18:N18"/>
    <mergeCell ref="J19:N19"/>
  </mergeCells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6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51.5546875" style="1" customWidth="1"/>
    <col min="7" max="16384" width="9.33203125" style="1"/>
  </cols>
  <sheetData>
    <row r="1" spans="1:6" x14ac:dyDescent="0.3">
      <c r="A1" s="3" t="e">
        <f>Generator!#REF!</f>
        <v>#REF!</v>
      </c>
      <c r="B1" s="3" t="s">
        <v>20</v>
      </c>
    </row>
    <row r="2" spans="1:6" x14ac:dyDescent="0.3">
      <c r="A2" s="3" t="e">
        <f>VLOOKUP(A1,D4:F6,2,FALSE)</f>
        <v>#REF!</v>
      </c>
      <c r="B2" s="3" t="s">
        <v>21</v>
      </c>
    </row>
    <row r="3" spans="1:6" x14ac:dyDescent="0.3">
      <c r="A3" s="3" t="e">
        <f>VLOOKUP(A1,D4:F6,3,FALSE)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</row>
    <row r="4" spans="1:6" x14ac:dyDescent="0.3">
      <c r="D4" s="2" t="s">
        <v>166</v>
      </c>
      <c r="E4" s="2" t="s">
        <v>167</v>
      </c>
      <c r="F4" s="2" t="s">
        <v>169</v>
      </c>
    </row>
    <row r="5" spans="1:6" x14ac:dyDescent="0.3">
      <c r="D5" s="2" t="s">
        <v>168</v>
      </c>
      <c r="E5" s="2" t="s">
        <v>92</v>
      </c>
      <c r="F5" s="2" t="s">
        <v>170</v>
      </c>
    </row>
    <row r="6" spans="1:6" x14ac:dyDescent="0.3">
      <c r="D6" s="2"/>
      <c r="E6" s="2"/>
      <c r="F6" s="2"/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0"/>
  <sheetViews>
    <sheetView workbookViewId="0"/>
  </sheetViews>
  <sheetFormatPr defaultColWidth="9.33203125" defaultRowHeight="14.4" x14ac:dyDescent="0.3"/>
  <cols>
    <col min="1" max="1" width="29.5546875" style="1" customWidth="1"/>
    <col min="2" max="3" width="9.33203125" style="1"/>
    <col min="4" max="4" width="21.44140625" style="1" customWidth="1"/>
    <col min="5" max="5" width="10.5546875" style="1" customWidth="1"/>
    <col min="6" max="6" width="51.5546875" style="1" customWidth="1"/>
    <col min="7" max="8" width="9.33203125" style="1"/>
    <col min="9" max="9" width="11" style="1" bestFit="1" customWidth="1"/>
    <col min="10" max="10" width="9.6640625" style="1" bestFit="1" customWidth="1"/>
    <col min="11" max="16384" width="9.33203125" style="1"/>
  </cols>
  <sheetData>
    <row r="1" spans="1:9" x14ac:dyDescent="0.3">
      <c r="A1" s="3" t="e">
        <f>Generator!#REF!</f>
        <v>#REF!</v>
      </c>
      <c r="B1" s="3" t="s">
        <v>20</v>
      </c>
      <c r="H1" s="1" t="s">
        <v>33</v>
      </c>
    </row>
    <row r="2" spans="1:9" x14ac:dyDescent="0.3">
      <c r="A2" s="3" t="e">
        <f>VLOOKUP(A1,D4:F6,2,FALSE)</f>
        <v>#REF!</v>
      </c>
      <c r="B2" s="3" t="s">
        <v>21</v>
      </c>
      <c r="H2" s="1" t="e">
        <f>VALUE('RA-Hole'!A2&amp;'RA-Grease'!A2)</f>
        <v>#REF!</v>
      </c>
    </row>
    <row r="3" spans="1:9" x14ac:dyDescent="0.3">
      <c r="A3" s="3" t="e">
        <f>VLOOKUP(A1,D4:F6,3,FALSE)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1">
        <v>160</v>
      </c>
      <c r="I3" s="1">
        <v>1650</v>
      </c>
    </row>
    <row r="4" spans="1:9" x14ac:dyDescent="0.3">
      <c r="A4" s="14" t="e">
        <f>VLOOKUP(H2,H3:I10,2,FALSE)</f>
        <v>#REF!</v>
      </c>
      <c r="B4" s="14" t="s">
        <v>199</v>
      </c>
      <c r="D4" s="2" t="s">
        <v>171</v>
      </c>
      <c r="E4" s="2">
        <v>0</v>
      </c>
      <c r="F4" s="2" t="s">
        <v>173</v>
      </c>
      <c r="H4" s="1">
        <v>161</v>
      </c>
      <c r="I4" s="1">
        <v>1750</v>
      </c>
    </row>
    <row r="5" spans="1:9" x14ac:dyDescent="0.3">
      <c r="A5" s="14" t="e">
        <f>VLOOKUP(A1,D4:G6,4,FALSE)</f>
        <v>#REF!</v>
      </c>
      <c r="B5" s="14" t="s">
        <v>200</v>
      </c>
      <c r="D5" s="2" t="s">
        <v>172</v>
      </c>
      <c r="E5" s="2">
        <v>1</v>
      </c>
      <c r="F5" s="2" t="s">
        <v>174</v>
      </c>
      <c r="H5" s="1">
        <v>250</v>
      </c>
      <c r="I5" s="1">
        <v>1975</v>
      </c>
    </row>
    <row r="6" spans="1:9" x14ac:dyDescent="0.3">
      <c r="D6" s="2"/>
      <c r="E6" s="2"/>
      <c r="F6" s="2"/>
      <c r="H6" s="1">
        <v>251</v>
      </c>
      <c r="I6" s="1">
        <v>2075</v>
      </c>
    </row>
    <row r="7" spans="1:9" x14ac:dyDescent="0.3">
      <c r="H7" s="1">
        <v>500</v>
      </c>
      <c r="I7" s="1">
        <v>2300</v>
      </c>
    </row>
    <row r="8" spans="1:9" x14ac:dyDescent="0.3">
      <c r="H8" s="1">
        <v>501</v>
      </c>
      <c r="I8" s="1">
        <v>2400</v>
      </c>
    </row>
    <row r="9" spans="1:9" x14ac:dyDescent="0.3">
      <c r="H9" s="1">
        <v>1000</v>
      </c>
      <c r="I9" s="1">
        <v>3100</v>
      </c>
    </row>
    <row r="10" spans="1:9" x14ac:dyDescent="0.3">
      <c r="H10" s="1">
        <v>1001</v>
      </c>
      <c r="I10" s="1">
        <v>3200</v>
      </c>
    </row>
  </sheetData>
  <pageMargins left="0.7" right="0.7" top="0.75" bottom="0.75" header="0.3" footer="0.3"/>
  <pageSetup orientation="portrait" horizontalDpi="300" verticalDpi="300" r:id="rId1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4"/>
  <dimension ref="A1:L25"/>
  <sheetViews>
    <sheetView workbookViewId="0"/>
  </sheetViews>
  <sheetFormatPr defaultColWidth="9.33203125" defaultRowHeight="14.4" x14ac:dyDescent="0.3"/>
  <cols>
    <col min="1" max="1" width="19.6640625" style="1" customWidth="1"/>
    <col min="2" max="3" width="9.33203125" style="1"/>
    <col min="4" max="4" width="20" style="1" customWidth="1"/>
    <col min="5" max="5" width="8.44140625" style="1" customWidth="1"/>
    <col min="6" max="6" width="41.33203125" style="1" customWidth="1"/>
    <col min="7" max="16384" width="9.33203125" style="1"/>
  </cols>
  <sheetData>
    <row r="1" spans="1:12" x14ac:dyDescent="0.3">
      <c r="A1" s="3" t="e">
        <f>Generator!#REF!</f>
        <v>#REF!</v>
      </c>
      <c r="B1" s="3" t="s">
        <v>20</v>
      </c>
      <c r="H1" s="1" t="s">
        <v>33</v>
      </c>
    </row>
    <row r="2" spans="1:12" x14ac:dyDescent="0.3">
      <c r="A2" s="3" t="e">
        <f>VLOOKUP(A1,D4:F7,2,FALSE)</f>
        <v>#REF!</v>
      </c>
      <c r="B2" s="3" t="s">
        <v>21</v>
      </c>
      <c r="H2" s="1" t="e">
        <f>'A-Type'!A1</f>
        <v>#REF!</v>
      </c>
    </row>
    <row r="3" spans="1:12" x14ac:dyDescent="0.3">
      <c r="A3" s="3" t="e">
        <f>TEXT(VLOOKUP(A1,D4:F7,3,FALSE),"")</f>
        <v>#REF!</v>
      </c>
      <c r="B3" s="3" t="s">
        <v>22</v>
      </c>
      <c r="D3" s="3" t="s">
        <v>23</v>
      </c>
      <c r="E3" s="3" t="s">
        <v>24</v>
      </c>
      <c r="F3" s="3" t="s">
        <v>25</v>
      </c>
      <c r="H3" s="2" t="s">
        <v>26</v>
      </c>
      <c r="I3" s="5" t="s">
        <v>53</v>
      </c>
      <c r="J3" s="5" t="s">
        <v>10</v>
      </c>
      <c r="K3" s="4" t="e">
        <f>IF(EXACT('A-Option'!A2,'A-Option'!J3),"LS",0)</f>
        <v>#REF!</v>
      </c>
      <c r="L3" s="4" t="e">
        <f>IF(EXACT('A-Option'!A2,'A-Option'!J3),"RS",0)</f>
        <v>#REF!</v>
      </c>
    </row>
    <row r="4" spans="1:12" x14ac:dyDescent="0.3">
      <c r="A4" s="14">
        <v>0</v>
      </c>
      <c r="B4" s="14" t="s">
        <v>199</v>
      </c>
      <c r="C4" s="1">
        <v>2</v>
      </c>
      <c r="D4" s="4" t="e">
        <f>VLOOKUP(E4,$H$14:$I$25,2,FALSE)</f>
        <v>#REF!</v>
      </c>
      <c r="E4" s="2" t="e">
        <f>VLOOKUP($H$2,$H$3:$L$12,C4,FALSE)</f>
        <v>#REF!</v>
      </c>
      <c r="F4" s="4" t="e">
        <f>VLOOKUP(E4,$H$14:$J$25,3,FALSE)</f>
        <v>#REF!</v>
      </c>
      <c r="H4" s="2" t="s">
        <v>27</v>
      </c>
      <c r="I4" s="5" t="s">
        <v>14</v>
      </c>
      <c r="J4" s="5"/>
      <c r="K4" s="5"/>
      <c r="L4" s="5"/>
    </row>
    <row r="5" spans="1:12" x14ac:dyDescent="0.3">
      <c r="A5" s="14" t="e">
        <f>VLOOKUP(A2,H14:K25,4,FALSE)</f>
        <v>#REF!</v>
      </c>
      <c r="B5" s="14" t="s">
        <v>200</v>
      </c>
      <c r="C5" s="1">
        <v>3</v>
      </c>
      <c r="D5" s="4" t="e">
        <f>IF(E5&lt;&gt;0,VLOOKUP(E5,$H$14:$I$25,2,FALSE),"")</f>
        <v>#REF!</v>
      </c>
      <c r="E5" s="2" t="e">
        <f>VLOOKUP($H$2,$H$3:$L$12,C5,FALSE)</f>
        <v>#REF!</v>
      </c>
      <c r="F5" s="4" t="e">
        <f>VLOOKUP(E5,$H$14:$J$25,3,FALSE)</f>
        <v>#REF!</v>
      </c>
      <c r="H5" s="2" t="s">
        <v>51</v>
      </c>
      <c r="I5" s="5" t="s">
        <v>14</v>
      </c>
      <c r="J5" s="5"/>
      <c r="K5" s="5"/>
      <c r="L5" s="5"/>
    </row>
    <row r="6" spans="1:12" x14ac:dyDescent="0.3">
      <c r="C6" s="1">
        <v>4</v>
      </c>
      <c r="D6" s="4" t="e">
        <f>IF(E6&lt;&gt;0,VLOOKUP(E6,$H$14:$I$25,2,FALSE),"")</f>
        <v>#REF!</v>
      </c>
      <c r="E6" s="2" t="e">
        <f>VLOOKUP($H$2,$H$3:$L$12,C6,FALSE)</f>
        <v>#REF!</v>
      </c>
      <c r="F6" s="4" t="e">
        <f>VLOOKUP(E6,$H$14:$J$25,3,FALSE)</f>
        <v>#REF!</v>
      </c>
      <c r="H6" s="2" t="s">
        <v>50</v>
      </c>
      <c r="I6" s="5" t="s">
        <v>14</v>
      </c>
      <c r="J6" s="5"/>
      <c r="K6" s="5"/>
      <c r="L6" s="5"/>
    </row>
    <row r="7" spans="1:12" x14ac:dyDescent="0.3">
      <c r="C7" s="1">
        <v>5</v>
      </c>
      <c r="D7" s="4" t="e">
        <f>IF(E7&lt;&gt;0,VLOOKUP(E7,$H$14:$I$25,2,FALSE),"")</f>
        <v>#REF!</v>
      </c>
      <c r="E7" s="2" t="e">
        <f>VLOOKUP($H$2,$H$3:$L$12,C7,FALSE)</f>
        <v>#REF!</v>
      </c>
      <c r="F7" s="4" t="e">
        <f>VLOOKUP(E7,$H$14:$J$25,3,FALSE)</f>
        <v>#REF!</v>
      </c>
      <c r="H7" s="2" t="s">
        <v>49</v>
      </c>
      <c r="I7" s="5" t="s">
        <v>14</v>
      </c>
      <c r="J7" s="5"/>
      <c r="K7" s="5"/>
      <c r="L7" s="5"/>
    </row>
    <row r="8" spans="1:12" x14ac:dyDescent="0.3">
      <c r="H8" s="2" t="s">
        <v>48</v>
      </c>
      <c r="I8" s="5" t="s">
        <v>14</v>
      </c>
      <c r="J8" s="5" t="s">
        <v>15</v>
      </c>
      <c r="K8" s="5" t="s">
        <v>16</v>
      </c>
      <c r="L8" s="5" t="s">
        <v>17</v>
      </c>
    </row>
    <row r="9" spans="1:12" x14ac:dyDescent="0.3">
      <c r="H9" s="2" t="s">
        <v>47</v>
      </c>
      <c r="I9" s="5" t="s">
        <v>14</v>
      </c>
      <c r="J9" s="5" t="s">
        <v>15</v>
      </c>
      <c r="K9" s="5" t="s">
        <v>16</v>
      </c>
      <c r="L9" s="5" t="s">
        <v>17</v>
      </c>
    </row>
    <row r="10" spans="1:12" x14ac:dyDescent="0.3">
      <c r="H10" s="2" t="s">
        <v>46</v>
      </c>
      <c r="I10" s="5" t="s">
        <v>14</v>
      </c>
      <c r="J10" s="5" t="s">
        <v>15</v>
      </c>
      <c r="K10" s="5" t="s">
        <v>16</v>
      </c>
      <c r="L10" s="5" t="s">
        <v>17</v>
      </c>
    </row>
    <row r="11" spans="1:12" x14ac:dyDescent="0.3">
      <c r="H11" s="2" t="s">
        <v>151</v>
      </c>
      <c r="I11" s="5" t="s">
        <v>53</v>
      </c>
      <c r="J11" s="5" t="s">
        <v>10</v>
      </c>
      <c r="K11" s="5"/>
      <c r="L11" s="5"/>
    </row>
    <row r="12" spans="1:12" x14ac:dyDescent="0.3">
      <c r="H12" s="2" t="s">
        <v>153</v>
      </c>
      <c r="I12" s="5" t="s">
        <v>53</v>
      </c>
      <c r="J12" s="5" t="s">
        <v>10</v>
      </c>
      <c r="K12" s="5"/>
      <c r="L12" s="5"/>
    </row>
    <row r="14" spans="1:12" x14ac:dyDescent="0.3">
      <c r="H14" s="2" t="s">
        <v>14</v>
      </c>
      <c r="I14" s="6" t="s">
        <v>52</v>
      </c>
      <c r="J14" s="6" t="s">
        <v>52</v>
      </c>
      <c r="K14" s="16">
        <v>0</v>
      </c>
    </row>
    <row r="15" spans="1:12" x14ac:dyDescent="0.3">
      <c r="H15" s="2" t="s">
        <v>53</v>
      </c>
      <c r="I15" s="6" t="s">
        <v>66</v>
      </c>
      <c r="J15" s="6" t="s">
        <v>59</v>
      </c>
      <c r="K15" s="16">
        <v>0</v>
      </c>
    </row>
    <row r="16" spans="1:12" x14ac:dyDescent="0.3">
      <c r="H16" s="2" t="s">
        <v>10</v>
      </c>
      <c r="I16" s="6" t="s">
        <v>67</v>
      </c>
      <c r="J16" s="6" t="s">
        <v>58</v>
      </c>
      <c r="K16" s="16">
        <v>0</v>
      </c>
    </row>
    <row r="17" spans="8:11" x14ac:dyDescent="0.3">
      <c r="H17" s="2" t="s">
        <v>54</v>
      </c>
      <c r="I17" s="6" t="s">
        <v>68</v>
      </c>
      <c r="J17" s="6" t="s">
        <v>56</v>
      </c>
      <c r="K17" s="16">
        <v>0</v>
      </c>
    </row>
    <row r="18" spans="8:11" x14ac:dyDescent="0.3">
      <c r="H18" s="2" t="s">
        <v>55</v>
      </c>
      <c r="I18" s="6" t="s">
        <v>69</v>
      </c>
      <c r="J18" s="6" t="s">
        <v>57</v>
      </c>
      <c r="K18" s="16">
        <v>0</v>
      </c>
    </row>
    <row r="19" spans="8:11" x14ac:dyDescent="0.3">
      <c r="H19" s="2" t="s">
        <v>15</v>
      </c>
      <c r="I19" s="6" t="s">
        <v>60</v>
      </c>
      <c r="J19" s="6" t="s">
        <v>70</v>
      </c>
      <c r="K19" s="14">
        <v>75</v>
      </c>
    </row>
    <row r="20" spans="8:11" x14ac:dyDescent="0.3">
      <c r="H20" s="2" t="s">
        <v>16</v>
      </c>
      <c r="I20" s="6" t="s">
        <v>61</v>
      </c>
      <c r="J20" s="6" t="s">
        <v>71</v>
      </c>
      <c r="K20" s="14">
        <v>75</v>
      </c>
    </row>
    <row r="21" spans="8:11" x14ac:dyDescent="0.3">
      <c r="H21" s="2" t="s">
        <v>17</v>
      </c>
      <c r="I21" s="6" t="s">
        <v>62</v>
      </c>
      <c r="J21" s="6" t="s">
        <v>72</v>
      </c>
      <c r="K21" s="14">
        <v>75</v>
      </c>
    </row>
    <row r="22" spans="8:11" x14ac:dyDescent="0.3">
      <c r="H22" s="2"/>
      <c r="I22" s="2"/>
      <c r="J22" s="2"/>
      <c r="K22" s="16">
        <v>0</v>
      </c>
    </row>
    <row r="23" spans="8:11" x14ac:dyDescent="0.3">
      <c r="H23" s="2"/>
      <c r="I23" s="2"/>
      <c r="J23" s="2"/>
      <c r="K23" s="16">
        <v>0</v>
      </c>
    </row>
    <row r="24" spans="8:11" x14ac:dyDescent="0.3">
      <c r="H24" s="2"/>
      <c r="I24" s="2"/>
      <c r="J24" s="2"/>
      <c r="K24" s="16">
        <v>0</v>
      </c>
    </row>
    <row r="25" spans="8:11" x14ac:dyDescent="0.3">
      <c r="H25" s="2"/>
      <c r="I25" s="2"/>
      <c r="J25" s="2"/>
      <c r="K25" s="16">
        <v>0</v>
      </c>
    </row>
  </sheetData>
  <customSheetViews>
    <customSheetView guid="{52C17BD0-9019-43AE-9B1C-4B881AB3FBFD}" state="hidden">
      <selection activeCell="D13" sqref="D1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headerFooter differentOddEven="1" differentFirst="1">
    <oddHeader>&amp;C&amp;8This document contains technology subject to the U.S. Export Administration Regulations (EAR) and may not be exported without proper authorization. Diversion contrary to U.S. law is prohibited.</oddHeader>
    <oddFooter>&amp;C </oddFooter>
    <evenHeader>&amp;C&amp;8This document contains technology subject to the U.S. Export Administration Regulations (EAR) and may not be exported without proper authorization. Diversion contrary to U.S. law is prohibited.</evenHeader>
    <evenFooter>&amp;C </evenFooter>
    <firstHeader>&amp;C </firstHeader>
    <firstFooter>&amp;C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32E4-FCD1-479F-850A-D531CCCB6256}">
  <dimension ref="B2:G5"/>
  <sheetViews>
    <sheetView workbookViewId="0">
      <selection activeCell="F3" sqref="F3"/>
    </sheetView>
  </sheetViews>
  <sheetFormatPr defaultRowHeight="14.4" x14ac:dyDescent="0.3"/>
  <cols>
    <col min="2" max="2" width="7.88671875" bestFit="1" customWidth="1"/>
    <col min="3" max="3" width="12.33203125" bestFit="1" customWidth="1"/>
    <col min="4" max="4" width="26.33203125" bestFit="1" customWidth="1"/>
    <col min="6" max="6" width="13.88671875" bestFit="1" customWidth="1"/>
    <col min="7" max="7" width="12.5546875" bestFit="1" customWidth="1"/>
  </cols>
  <sheetData>
    <row r="2" spans="2:7" x14ac:dyDescent="0.3">
      <c r="B2" s="80" t="s">
        <v>23</v>
      </c>
      <c r="C2" s="80" t="s">
        <v>273</v>
      </c>
      <c r="D2" s="80" t="s">
        <v>247</v>
      </c>
      <c r="F2" s="80" t="s">
        <v>274</v>
      </c>
      <c r="G2" s="80" t="s">
        <v>275</v>
      </c>
    </row>
    <row r="3" spans="2:7" x14ac:dyDescent="0.3">
      <c r="B3" s="80" t="s">
        <v>276</v>
      </c>
      <c r="C3" s="80" t="s">
        <v>277</v>
      </c>
      <c r="D3" s="80" t="s">
        <v>278</v>
      </c>
      <c r="F3" t="str">
        <f>IF(Generator!C45&lt;&gt;0,VLOOKUP(Generator!C45,'CD-Flange'!B3:C5,2,FALSE),"")</f>
        <v/>
      </c>
      <c r="G3" t="e">
        <f>VLOOKUP(F3,C3:D5,2,FALSE)</f>
        <v>#N/A</v>
      </c>
    </row>
    <row r="4" spans="2:7" x14ac:dyDescent="0.3">
      <c r="B4" s="80" t="s">
        <v>279</v>
      </c>
      <c r="C4" s="80" t="s">
        <v>280</v>
      </c>
      <c r="D4" s="80" t="s">
        <v>281</v>
      </c>
    </row>
    <row r="5" spans="2:7" x14ac:dyDescent="0.3">
      <c r="B5" s="80" t="s">
        <v>282</v>
      </c>
      <c r="C5" s="80" t="s">
        <v>283</v>
      </c>
      <c r="D5" s="80" t="s">
        <v>284</v>
      </c>
    </row>
  </sheetData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E662-05F8-447F-A90F-EA5AA0AFE06A}">
  <dimension ref="B2:G4"/>
  <sheetViews>
    <sheetView workbookViewId="0">
      <selection activeCell="F4" sqref="F4"/>
    </sheetView>
  </sheetViews>
  <sheetFormatPr defaultRowHeight="14.4" x14ac:dyDescent="0.3"/>
  <cols>
    <col min="3" max="3" width="12.33203125" bestFit="1" customWidth="1"/>
    <col min="4" max="4" width="13.44140625" bestFit="1" customWidth="1"/>
    <col min="6" max="6" width="13.88671875" bestFit="1" customWidth="1"/>
    <col min="7" max="7" width="12.5546875" bestFit="1" customWidth="1"/>
  </cols>
  <sheetData>
    <row r="2" spans="2:7" x14ac:dyDescent="0.3">
      <c r="B2" s="80" t="s">
        <v>23</v>
      </c>
      <c r="C2" s="80" t="s">
        <v>273</v>
      </c>
      <c r="D2" s="80" t="s">
        <v>247</v>
      </c>
      <c r="F2" s="80" t="s">
        <v>285</v>
      </c>
      <c r="G2" s="80" t="s">
        <v>286</v>
      </c>
    </row>
    <row r="3" spans="2:7" x14ac:dyDescent="0.3">
      <c r="B3" s="80" t="s">
        <v>287</v>
      </c>
      <c r="C3" s="80" t="s">
        <v>288</v>
      </c>
      <c r="D3" s="80" t="s">
        <v>289</v>
      </c>
      <c r="F3" s="80" t="str">
        <f>IF(Generator!E45&lt;&gt;0,VLOOKUP(Generator!E45,'CD-DCVoltage'!B3:C4,2,FALSE),"")</f>
        <v/>
      </c>
      <c r="G3" s="80" t="e">
        <f>VLOOKUP(F3,C3:D4,2,FALSE)</f>
        <v>#N/A</v>
      </c>
    </row>
    <row r="4" spans="2:7" x14ac:dyDescent="0.3">
      <c r="B4" s="80" t="s">
        <v>290</v>
      </c>
      <c r="C4" s="80" t="s">
        <v>291</v>
      </c>
      <c r="D4" s="80" t="s">
        <v>292</v>
      </c>
    </row>
  </sheetData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4B5F-0A65-4C07-B481-ECDB0D9AA367}">
  <dimension ref="B1:L16"/>
  <sheetViews>
    <sheetView workbookViewId="0">
      <selection activeCell="K4" sqref="K4"/>
    </sheetView>
  </sheetViews>
  <sheetFormatPr defaultRowHeight="14.4" x14ac:dyDescent="0.3"/>
  <cols>
    <col min="3" max="3" width="12.33203125" bestFit="1" customWidth="1"/>
    <col min="4" max="4" width="14.109375" customWidth="1"/>
    <col min="6" max="6" width="12.33203125" bestFit="1" customWidth="1"/>
    <col min="9" max="9" width="12.33203125" bestFit="1" customWidth="1"/>
    <col min="11" max="11" width="13.88671875" bestFit="1" customWidth="1"/>
    <col min="12" max="12" width="12.5546875" bestFit="1" customWidth="1"/>
  </cols>
  <sheetData>
    <row r="1" spans="2:12" x14ac:dyDescent="0.3">
      <c r="B1" s="127" t="s">
        <v>293</v>
      </c>
      <c r="C1" s="127"/>
      <c r="D1" s="80"/>
      <c r="E1" s="127" t="s">
        <v>294</v>
      </c>
      <c r="F1" s="127"/>
      <c r="H1" s="127" t="s">
        <v>295</v>
      </c>
      <c r="I1" s="127"/>
      <c r="L1" s="80"/>
    </row>
    <row r="2" spans="2:12" x14ac:dyDescent="0.3">
      <c r="B2" s="80" t="s">
        <v>23</v>
      </c>
      <c r="C2" s="80" t="s">
        <v>273</v>
      </c>
      <c r="D2" s="80"/>
      <c r="E2" s="80" t="s">
        <v>23</v>
      </c>
      <c r="F2" s="80" t="s">
        <v>273</v>
      </c>
      <c r="H2" s="80" t="s">
        <v>23</v>
      </c>
      <c r="I2" s="80" t="s">
        <v>273</v>
      </c>
      <c r="K2" s="80" t="s">
        <v>296</v>
      </c>
      <c r="L2" s="80" t="s">
        <v>297</v>
      </c>
    </row>
    <row r="3" spans="2:12" x14ac:dyDescent="0.3">
      <c r="B3" s="80" t="s">
        <v>298</v>
      </c>
      <c r="C3" s="80">
        <v>2</v>
      </c>
      <c r="D3" s="80"/>
      <c r="E3" s="80" t="s">
        <v>298</v>
      </c>
      <c r="F3" s="80">
        <v>2</v>
      </c>
      <c r="H3" s="80" t="s">
        <v>298</v>
      </c>
      <c r="I3" s="80">
        <v>2</v>
      </c>
      <c r="K3" s="80" t="str">
        <f>IF(Generator!G45&lt;&gt;0,VLOOKUP(Generator!G45,'CD-Stack'!B10:C16,2,FALSE),"")</f>
        <v/>
      </c>
      <c r="L3" s="80" t="e">
        <f>VLOOKUP(Generator!G45,B10:D16,3,FALSE)</f>
        <v>#N/A</v>
      </c>
    </row>
    <row r="4" spans="2:12" x14ac:dyDescent="0.3">
      <c r="B4" s="80" t="s">
        <v>299</v>
      </c>
      <c r="C4" s="80">
        <v>4</v>
      </c>
      <c r="D4" s="80"/>
      <c r="E4" s="80" t="s">
        <v>300</v>
      </c>
      <c r="F4" s="80">
        <v>4</v>
      </c>
      <c r="H4" s="80" t="s">
        <v>299</v>
      </c>
      <c r="I4" s="80">
        <v>4</v>
      </c>
      <c r="L4" s="80"/>
    </row>
    <row r="5" spans="2:12" x14ac:dyDescent="0.3">
      <c r="B5" s="80" t="s">
        <v>301</v>
      </c>
      <c r="C5" s="80">
        <v>6</v>
      </c>
      <c r="D5" s="80"/>
      <c r="E5" s="80" t="s">
        <v>302</v>
      </c>
      <c r="F5" s="80">
        <v>6</v>
      </c>
      <c r="H5" s="80" t="s">
        <v>301</v>
      </c>
      <c r="I5" s="80">
        <v>6</v>
      </c>
      <c r="L5" s="80"/>
    </row>
    <row r="6" spans="2:12" x14ac:dyDescent="0.3">
      <c r="B6" s="80" t="s">
        <v>303</v>
      </c>
      <c r="C6" s="80">
        <v>8</v>
      </c>
      <c r="D6" s="80"/>
      <c r="E6" s="80" t="s">
        <v>303</v>
      </c>
      <c r="F6" s="80">
        <v>8</v>
      </c>
      <c r="H6" s="80" t="s">
        <v>303</v>
      </c>
      <c r="I6" s="80">
        <v>8</v>
      </c>
      <c r="L6" s="80"/>
    </row>
    <row r="7" spans="2:12" x14ac:dyDescent="0.3">
      <c r="H7" s="80" t="s">
        <v>304</v>
      </c>
      <c r="I7" s="80">
        <v>9</v>
      </c>
      <c r="L7" s="80"/>
    </row>
    <row r="9" spans="2:12" x14ac:dyDescent="0.3">
      <c r="B9" s="80" t="s">
        <v>305</v>
      </c>
      <c r="C9" s="80" t="s">
        <v>273</v>
      </c>
      <c r="D9" t="s">
        <v>247</v>
      </c>
    </row>
    <row r="10" spans="2:12" x14ac:dyDescent="0.3">
      <c r="B10" s="80" t="s">
        <v>298</v>
      </c>
      <c r="C10" s="80">
        <v>2</v>
      </c>
      <c r="D10" t="s">
        <v>306</v>
      </c>
    </row>
    <row r="11" spans="2:12" x14ac:dyDescent="0.3">
      <c r="B11" s="80" t="s">
        <v>299</v>
      </c>
      <c r="C11" s="80">
        <v>4</v>
      </c>
      <c r="D11" t="s">
        <v>307</v>
      </c>
    </row>
    <row r="12" spans="2:12" x14ac:dyDescent="0.3">
      <c r="B12" s="80" t="s">
        <v>300</v>
      </c>
      <c r="C12" s="80">
        <v>4</v>
      </c>
      <c r="D12" t="s">
        <v>308</v>
      </c>
    </row>
    <row r="13" spans="2:12" x14ac:dyDescent="0.3">
      <c r="B13" s="80" t="s">
        <v>301</v>
      </c>
      <c r="C13" s="80">
        <v>6</v>
      </c>
      <c r="D13" t="s">
        <v>309</v>
      </c>
    </row>
    <row r="14" spans="2:12" x14ac:dyDescent="0.3">
      <c r="B14" s="80" t="s">
        <v>302</v>
      </c>
      <c r="C14" s="80">
        <v>6</v>
      </c>
      <c r="D14" t="s">
        <v>310</v>
      </c>
    </row>
    <row r="15" spans="2:12" x14ac:dyDescent="0.3">
      <c r="B15" s="80" t="s">
        <v>303</v>
      </c>
      <c r="C15" s="80">
        <v>8</v>
      </c>
      <c r="D15" t="s">
        <v>311</v>
      </c>
    </row>
    <row r="16" spans="2:12" x14ac:dyDescent="0.3">
      <c r="B16" s="80" t="s">
        <v>304</v>
      </c>
      <c r="C16" s="80">
        <v>9</v>
      </c>
      <c r="D16" t="s">
        <v>312</v>
      </c>
    </row>
  </sheetData>
  <mergeCells count="3">
    <mergeCell ref="B1:C1"/>
    <mergeCell ref="E1:F1"/>
    <mergeCell ref="H1:I1"/>
  </mergeCells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30C4-2F13-4F5C-97DD-14CE38CBE55E}">
  <dimension ref="B1:T28"/>
  <sheetViews>
    <sheetView workbookViewId="0">
      <selection activeCell="N3" sqref="N3"/>
    </sheetView>
  </sheetViews>
  <sheetFormatPr defaultRowHeight="14.4" x14ac:dyDescent="0.3"/>
  <cols>
    <col min="3" max="3" width="12.33203125" bestFit="1" customWidth="1"/>
    <col min="4" max="4" width="11.109375" bestFit="1" customWidth="1"/>
    <col min="7" max="7" width="12.33203125" bestFit="1" customWidth="1"/>
    <col min="8" max="8" width="11.109375" bestFit="1" customWidth="1"/>
    <col min="11" max="11" width="12.33203125" bestFit="1" customWidth="1"/>
    <col min="12" max="12" width="11.109375" bestFit="1" customWidth="1"/>
    <col min="14" max="14" width="18" bestFit="1" customWidth="1"/>
    <col min="15" max="15" width="13.6640625" bestFit="1" customWidth="1"/>
    <col min="16" max="16" width="10.44140625" bestFit="1" customWidth="1"/>
    <col min="17" max="17" width="12.33203125" bestFit="1" customWidth="1"/>
    <col min="19" max="19" width="13.88671875" bestFit="1" customWidth="1"/>
    <col min="20" max="20" width="12.5546875" bestFit="1" customWidth="1"/>
  </cols>
  <sheetData>
    <row r="1" spans="2:20" x14ac:dyDescent="0.3">
      <c r="B1" t="s">
        <v>313</v>
      </c>
      <c r="F1" s="128" t="s">
        <v>314</v>
      </c>
      <c r="G1" s="128"/>
      <c r="J1" t="s">
        <v>315</v>
      </c>
    </row>
    <row r="2" spans="2:20" x14ac:dyDescent="0.3">
      <c r="B2" s="80" t="s">
        <v>23</v>
      </c>
      <c r="C2" s="80" t="s">
        <v>273</v>
      </c>
      <c r="D2" s="80" t="s">
        <v>247</v>
      </c>
      <c r="F2" s="81" t="s">
        <v>23</v>
      </c>
      <c r="G2" s="80" t="s">
        <v>273</v>
      </c>
      <c r="H2" s="81" t="s">
        <v>247</v>
      </c>
      <c r="J2" s="81" t="s">
        <v>23</v>
      </c>
      <c r="K2" s="80" t="s">
        <v>273</v>
      </c>
      <c r="L2" s="81" t="s">
        <v>247</v>
      </c>
      <c r="N2" s="81" t="s">
        <v>316</v>
      </c>
      <c r="O2" s="81" t="s">
        <v>317</v>
      </c>
      <c r="P2" s="81" t="s">
        <v>318</v>
      </c>
      <c r="Q2" s="80" t="s">
        <v>273</v>
      </c>
      <c r="S2" s="80" t="s">
        <v>319</v>
      </c>
      <c r="T2" s="80" t="s">
        <v>320</v>
      </c>
    </row>
    <row r="3" spans="2:20" x14ac:dyDescent="0.3">
      <c r="B3" s="80"/>
      <c r="C3" s="82">
        <v>80</v>
      </c>
      <c r="D3" s="80" t="s">
        <v>321</v>
      </c>
      <c r="F3" s="81"/>
      <c r="G3" s="83">
        <v>72</v>
      </c>
      <c r="H3" s="81" t="s">
        <v>322</v>
      </c>
      <c r="J3" s="81"/>
      <c r="K3" s="83">
        <v>70</v>
      </c>
      <c r="L3" s="81" t="s">
        <v>323</v>
      </c>
      <c r="N3" t="str">
        <f>'CD-Flange'!F3&amp;"-"&amp;'CD-DCVoltage'!F3&amp;'CD-Stack'!K3</f>
        <v>-</v>
      </c>
      <c r="O3" t="s">
        <v>324</v>
      </c>
      <c r="P3" t="s">
        <v>321</v>
      </c>
      <c r="Q3" s="82">
        <v>80</v>
      </c>
      <c r="S3" s="82" t="e">
        <f>VLOOKUP(N3,O3:Q28,3,FALSE)</f>
        <v>#N/A</v>
      </c>
      <c r="T3" s="80" t="e">
        <f>VLOOKUP(N3,O3:P28,2,FALSE)</f>
        <v>#N/A</v>
      </c>
    </row>
    <row r="4" spans="2:20" x14ac:dyDescent="0.3">
      <c r="B4" s="80"/>
      <c r="C4" s="82">
        <v>74</v>
      </c>
      <c r="D4" s="80" t="s">
        <v>325</v>
      </c>
      <c r="F4" s="81"/>
      <c r="G4" s="83">
        <v>60</v>
      </c>
      <c r="H4" s="81" t="s">
        <v>326</v>
      </c>
      <c r="J4" s="81"/>
      <c r="K4" s="83">
        <v>55</v>
      </c>
      <c r="L4" s="81" t="s">
        <v>327</v>
      </c>
      <c r="O4" t="s">
        <v>328</v>
      </c>
      <c r="P4" t="s">
        <v>325</v>
      </c>
      <c r="Q4" s="82">
        <v>74</v>
      </c>
    </row>
    <row r="5" spans="2:20" x14ac:dyDescent="0.3">
      <c r="B5" s="80"/>
      <c r="C5" s="82">
        <v>65</v>
      </c>
      <c r="D5" s="80" t="s">
        <v>329</v>
      </c>
      <c r="F5" s="81"/>
      <c r="G5" s="83">
        <v>41</v>
      </c>
      <c r="H5" s="81" t="s">
        <v>330</v>
      </c>
      <c r="J5" s="81"/>
      <c r="K5" s="83">
        <v>42</v>
      </c>
      <c r="L5" s="81" t="s">
        <v>331</v>
      </c>
      <c r="O5" t="s">
        <v>332</v>
      </c>
      <c r="P5" t="s">
        <v>329</v>
      </c>
      <c r="Q5" s="82">
        <v>65</v>
      </c>
    </row>
    <row r="6" spans="2:20" x14ac:dyDescent="0.3">
      <c r="B6" s="80"/>
      <c r="C6" s="82">
        <v>50</v>
      </c>
      <c r="D6" s="80" t="s">
        <v>333</v>
      </c>
      <c r="F6" s="81"/>
      <c r="G6" s="83">
        <v>34</v>
      </c>
      <c r="H6" s="81" t="s">
        <v>334</v>
      </c>
      <c r="J6" s="81"/>
      <c r="K6" s="83">
        <v>35</v>
      </c>
      <c r="L6" s="81" t="s">
        <v>335</v>
      </c>
      <c r="O6" t="s">
        <v>336</v>
      </c>
      <c r="P6" t="s">
        <v>333</v>
      </c>
      <c r="Q6" s="82">
        <v>50</v>
      </c>
    </row>
    <row r="7" spans="2:20" x14ac:dyDescent="0.3">
      <c r="C7" s="84"/>
      <c r="G7" s="84"/>
      <c r="J7" s="81"/>
      <c r="K7" s="83">
        <v>26</v>
      </c>
      <c r="L7" s="81" t="s">
        <v>337</v>
      </c>
      <c r="O7" t="s">
        <v>338</v>
      </c>
      <c r="P7" t="s">
        <v>339</v>
      </c>
      <c r="Q7" s="82">
        <v>90</v>
      </c>
    </row>
    <row r="8" spans="2:20" x14ac:dyDescent="0.3">
      <c r="O8" t="s">
        <v>340</v>
      </c>
      <c r="P8" t="s">
        <v>341</v>
      </c>
      <c r="Q8" s="82">
        <v>75</v>
      </c>
    </row>
    <row r="9" spans="2:20" x14ac:dyDescent="0.3">
      <c r="B9" t="s">
        <v>342</v>
      </c>
      <c r="F9" s="128" t="s">
        <v>343</v>
      </c>
      <c r="G9" s="128"/>
      <c r="J9" t="s">
        <v>344</v>
      </c>
      <c r="O9" t="s">
        <v>345</v>
      </c>
      <c r="P9" t="s">
        <v>341</v>
      </c>
      <c r="Q9" s="82">
        <v>75</v>
      </c>
    </row>
    <row r="10" spans="2:20" x14ac:dyDescent="0.3">
      <c r="B10" s="81" t="s">
        <v>23</v>
      </c>
      <c r="C10" s="80" t="s">
        <v>273</v>
      </c>
      <c r="D10" s="81" t="s">
        <v>247</v>
      </c>
      <c r="F10" s="81" t="s">
        <v>23</v>
      </c>
      <c r="G10" s="80" t="s">
        <v>273</v>
      </c>
      <c r="H10" s="81" t="s">
        <v>247</v>
      </c>
      <c r="J10" s="81" t="s">
        <v>23</v>
      </c>
      <c r="K10" s="80" t="s">
        <v>273</v>
      </c>
      <c r="L10" s="81" t="s">
        <v>247</v>
      </c>
      <c r="O10" t="s">
        <v>346</v>
      </c>
      <c r="P10" t="s">
        <v>326</v>
      </c>
      <c r="Q10" s="82">
        <v>60</v>
      </c>
    </row>
    <row r="11" spans="2:20" x14ac:dyDescent="0.3">
      <c r="B11" s="81"/>
      <c r="C11" s="83">
        <v>90</v>
      </c>
      <c r="D11" s="81" t="s">
        <v>339</v>
      </c>
      <c r="F11" s="81"/>
      <c r="G11" s="83">
        <v>110</v>
      </c>
      <c r="H11" s="81" t="s">
        <v>347</v>
      </c>
      <c r="J11" s="81"/>
      <c r="K11" s="83">
        <v>80</v>
      </c>
      <c r="L11" s="81" t="s">
        <v>321</v>
      </c>
      <c r="O11" t="s">
        <v>348</v>
      </c>
      <c r="P11" t="s">
        <v>322</v>
      </c>
      <c r="Q11" s="83">
        <v>72</v>
      </c>
    </row>
    <row r="12" spans="2:20" x14ac:dyDescent="0.3">
      <c r="B12" s="81"/>
      <c r="C12" s="83">
        <v>75</v>
      </c>
      <c r="D12" s="81" t="s">
        <v>341</v>
      </c>
      <c r="F12" s="81"/>
      <c r="G12" s="83">
        <v>80</v>
      </c>
      <c r="H12" s="81" t="s">
        <v>321</v>
      </c>
      <c r="J12" s="81"/>
      <c r="K12" s="83">
        <v>55</v>
      </c>
      <c r="L12" s="81" t="s">
        <v>327</v>
      </c>
      <c r="O12" t="s">
        <v>349</v>
      </c>
      <c r="P12" t="s">
        <v>326</v>
      </c>
      <c r="Q12" s="83">
        <v>60</v>
      </c>
    </row>
    <row r="13" spans="2:20" x14ac:dyDescent="0.3">
      <c r="B13" s="81"/>
      <c r="C13" s="83">
        <v>75</v>
      </c>
      <c r="D13" s="81" t="s">
        <v>341</v>
      </c>
      <c r="F13" s="81"/>
      <c r="G13" s="83">
        <v>45</v>
      </c>
      <c r="H13" s="81" t="s">
        <v>350</v>
      </c>
      <c r="J13" s="81"/>
      <c r="K13" s="83">
        <v>42</v>
      </c>
      <c r="L13" s="81" t="s">
        <v>331</v>
      </c>
      <c r="O13" t="s">
        <v>351</v>
      </c>
      <c r="P13" t="s">
        <v>330</v>
      </c>
      <c r="Q13" s="83">
        <v>41</v>
      </c>
    </row>
    <row r="14" spans="2:20" x14ac:dyDescent="0.3">
      <c r="C14" s="83">
        <v>60</v>
      </c>
      <c r="D14" s="81" t="s">
        <v>326</v>
      </c>
      <c r="F14" s="81"/>
      <c r="G14" s="83">
        <v>44</v>
      </c>
      <c r="H14" s="81" t="s">
        <v>352</v>
      </c>
      <c r="J14" s="81"/>
      <c r="K14" s="83">
        <v>35</v>
      </c>
      <c r="L14" s="81" t="s">
        <v>335</v>
      </c>
      <c r="O14" t="s">
        <v>353</v>
      </c>
      <c r="P14" t="s">
        <v>334</v>
      </c>
      <c r="Q14" s="83">
        <v>34</v>
      </c>
    </row>
    <row r="15" spans="2:20" x14ac:dyDescent="0.3">
      <c r="J15" s="81"/>
      <c r="K15" s="83">
        <v>28</v>
      </c>
      <c r="L15" s="81" t="s">
        <v>354</v>
      </c>
      <c r="O15" t="s">
        <v>355</v>
      </c>
      <c r="P15" t="s">
        <v>347</v>
      </c>
      <c r="Q15" s="83">
        <v>110</v>
      </c>
    </row>
    <row r="16" spans="2:20" x14ac:dyDescent="0.3">
      <c r="O16" t="s">
        <v>356</v>
      </c>
      <c r="P16" t="s">
        <v>321</v>
      </c>
      <c r="Q16" s="83">
        <v>80</v>
      </c>
    </row>
    <row r="17" spans="2:17" x14ac:dyDescent="0.3">
      <c r="B17" s="80"/>
      <c r="C17" s="80"/>
      <c r="F17" s="80"/>
      <c r="G17" s="81"/>
      <c r="J17" s="80"/>
      <c r="K17" s="81"/>
      <c r="O17" t="s">
        <v>357</v>
      </c>
      <c r="P17" t="s">
        <v>350</v>
      </c>
      <c r="Q17" s="83">
        <v>45</v>
      </c>
    </row>
    <row r="18" spans="2:17" x14ac:dyDescent="0.3">
      <c r="B18" s="80"/>
      <c r="C18" s="80"/>
      <c r="F18" s="80"/>
      <c r="G18" s="81"/>
      <c r="J18" s="80"/>
      <c r="K18" s="81"/>
      <c r="O18" t="s">
        <v>358</v>
      </c>
      <c r="P18" t="s">
        <v>352</v>
      </c>
      <c r="Q18" s="83">
        <v>44</v>
      </c>
    </row>
    <row r="19" spans="2:17" x14ac:dyDescent="0.3">
      <c r="B19" s="80"/>
      <c r="C19" s="80"/>
      <c r="F19" s="80"/>
      <c r="G19" s="81"/>
      <c r="J19" s="80"/>
      <c r="K19" s="81"/>
      <c r="O19" t="s">
        <v>359</v>
      </c>
      <c r="P19" t="s">
        <v>323</v>
      </c>
      <c r="Q19" s="83">
        <v>70</v>
      </c>
    </row>
    <row r="20" spans="2:17" x14ac:dyDescent="0.3">
      <c r="B20" s="80"/>
      <c r="C20" s="80"/>
      <c r="F20" s="80"/>
      <c r="G20" s="81"/>
      <c r="J20" s="80"/>
      <c r="K20" s="81"/>
      <c r="O20" t="s">
        <v>360</v>
      </c>
      <c r="P20" t="s">
        <v>327</v>
      </c>
      <c r="Q20" s="83">
        <v>55</v>
      </c>
    </row>
    <row r="21" spans="2:17" x14ac:dyDescent="0.3">
      <c r="J21" s="80"/>
      <c r="K21" s="81"/>
      <c r="O21" t="s">
        <v>361</v>
      </c>
      <c r="P21" t="s">
        <v>331</v>
      </c>
      <c r="Q21" s="83">
        <v>42</v>
      </c>
    </row>
    <row r="22" spans="2:17" x14ac:dyDescent="0.3">
      <c r="O22" t="s">
        <v>362</v>
      </c>
      <c r="P22" t="s">
        <v>335</v>
      </c>
      <c r="Q22" s="83">
        <v>35</v>
      </c>
    </row>
    <row r="23" spans="2:17" x14ac:dyDescent="0.3">
      <c r="O23" t="s">
        <v>363</v>
      </c>
      <c r="P23" t="s">
        <v>337</v>
      </c>
      <c r="Q23" s="83">
        <v>26</v>
      </c>
    </row>
    <row r="24" spans="2:17" x14ac:dyDescent="0.3">
      <c r="O24" t="s">
        <v>364</v>
      </c>
      <c r="P24" t="s">
        <v>321</v>
      </c>
      <c r="Q24" s="83">
        <v>80</v>
      </c>
    </row>
    <row r="25" spans="2:17" x14ac:dyDescent="0.3">
      <c r="B25" s="80"/>
      <c r="C25" s="81"/>
      <c r="F25" s="80"/>
      <c r="G25" s="81"/>
      <c r="J25" s="80"/>
      <c r="K25" s="81"/>
      <c r="O25" t="s">
        <v>365</v>
      </c>
      <c r="P25" t="s">
        <v>327</v>
      </c>
      <c r="Q25" s="83">
        <v>55</v>
      </c>
    </row>
    <row r="26" spans="2:17" x14ac:dyDescent="0.3">
      <c r="B26" s="80"/>
      <c r="C26" s="81"/>
      <c r="F26" s="80"/>
      <c r="G26" s="81"/>
      <c r="J26" s="80"/>
      <c r="K26" s="81"/>
      <c r="O26" t="s">
        <v>366</v>
      </c>
      <c r="P26" t="s">
        <v>331</v>
      </c>
      <c r="Q26" s="83">
        <v>42</v>
      </c>
    </row>
    <row r="27" spans="2:17" x14ac:dyDescent="0.3">
      <c r="B27" s="80"/>
      <c r="C27" s="81"/>
      <c r="F27" s="80"/>
      <c r="G27" s="81"/>
      <c r="J27" s="80"/>
      <c r="K27" s="81"/>
      <c r="O27" t="s">
        <v>367</v>
      </c>
      <c r="P27" t="s">
        <v>335</v>
      </c>
      <c r="Q27" s="83">
        <v>35</v>
      </c>
    </row>
    <row r="28" spans="2:17" x14ac:dyDescent="0.3">
      <c r="B28" s="80"/>
      <c r="C28" s="81"/>
      <c r="F28" s="80"/>
      <c r="G28" s="81"/>
      <c r="J28" s="80"/>
      <c r="K28" s="81"/>
      <c r="O28" t="s">
        <v>368</v>
      </c>
      <c r="P28" t="s">
        <v>354</v>
      </c>
      <c r="Q28" s="83">
        <v>28</v>
      </c>
    </row>
  </sheetData>
  <mergeCells count="2">
    <mergeCell ref="F1:G1"/>
    <mergeCell ref="F9:G9"/>
  </mergeCells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AECD-40BE-47FF-A56C-5578B12DF87A}">
  <dimension ref="B1:L16"/>
  <sheetViews>
    <sheetView workbookViewId="0">
      <selection activeCell="C16" sqref="C16"/>
    </sheetView>
  </sheetViews>
  <sheetFormatPr defaultRowHeight="14.4" x14ac:dyDescent="0.3"/>
  <cols>
    <col min="2" max="2" width="13.88671875" bestFit="1" customWidth="1"/>
    <col min="3" max="3" width="12.5546875" bestFit="1" customWidth="1"/>
    <col min="4" max="4" width="11.109375" bestFit="1" customWidth="1"/>
    <col min="5" max="5" width="36.109375" bestFit="1" customWidth="1"/>
    <col min="6" max="6" width="14.109375" bestFit="1" customWidth="1"/>
    <col min="7" max="7" width="12.33203125" bestFit="1" customWidth="1"/>
    <col min="8" max="8" width="11.109375" bestFit="1" customWidth="1"/>
    <col min="10" max="10" width="13.5546875" bestFit="1" customWidth="1"/>
    <col min="11" max="11" width="12.33203125" bestFit="1" customWidth="1"/>
    <col min="12" max="12" width="11.109375" bestFit="1" customWidth="1"/>
  </cols>
  <sheetData>
    <row r="1" spans="2:12" x14ac:dyDescent="0.3">
      <c r="B1" s="127" t="s">
        <v>369</v>
      </c>
      <c r="C1" s="127"/>
      <c r="D1" s="80"/>
      <c r="E1" s="80"/>
      <c r="F1" s="127" t="s">
        <v>370</v>
      </c>
      <c r="G1" s="127"/>
      <c r="H1" s="80"/>
      <c r="I1" s="80"/>
      <c r="J1" s="127" t="s">
        <v>371</v>
      </c>
      <c r="K1" s="127"/>
      <c r="L1" s="80"/>
    </row>
    <row r="2" spans="2:12" x14ac:dyDescent="0.3">
      <c r="B2" s="80" t="s">
        <v>23</v>
      </c>
      <c r="C2" s="80" t="s">
        <v>273</v>
      </c>
      <c r="D2" s="80" t="s">
        <v>247</v>
      </c>
      <c r="E2" s="80"/>
      <c r="F2" s="80" t="s">
        <v>23</v>
      </c>
      <c r="G2" s="80" t="s">
        <v>273</v>
      </c>
      <c r="H2" s="80" t="s">
        <v>247</v>
      </c>
      <c r="I2" s="80"/>
      <c r="J2" s="80" t="s">
        <v>23</v>
      </c>
      <c r="K2" s="80" t="s">
        <v>273</v>
      </c>
      <c r="L2" s="80" t="s">
        <v>247</v>
      </c>
    </row>
    <row r="3" spans="2:12" x14ac:dyDescent="0.3">
      <c r="B3" s="80" t="s">
        <v>100</v>
      </c>
      <c r="C3" s="85">
        <v>0</v>
      </c>
      <c r="D3" s="80" t="s">
        <v>372</v>
      </c>
      <c r="E3" s="80"/>
      <c r="F3" s="80" t="s">
        <v>100</v>
      </c>
      <c r="G3" s="85">
        <v>0</v>
      </c>
      <c r="H3" s="80" t="s">
        <v>372</v>
      </c>
      <c r="I3" s="80"/>
      <c r="J3" s="80" t="s">
        <v>100</v>
      </c>
      <c r="K3" s="85">
        <v>0</v>
      </c>
      <c r="L3" s="80" t="s">
        <v>372</v>
      </c>
    </row>
    <row r="4" spans="2:12" x14ac:dyDescent="0.3">
      <c r="B4" s="80" t="s">
        <v>373</v>
      </c>
      <c r="C4" s="85">
        <v>1</v>
      </c>
      <c r="D4" s="80" t="s">
        <v>374</v>
      </c>
      <c r="E4" s="80"/>
      <c r="F4" s="80" t="s">
        <v>375</v>
      </c>
      <c r="G4" s="85">
        <v>1</v>
      </c>
      <c r="H4" s="80" t="s">
        <v>376</v>
      </c>
      <c r="I4" s="80"/>
      <c r="J4" s="80" t="s">
        <v>377</v>
      </c>
      <c r="K4" s="85">
        <v>1</v>
      </c>
      <c r="L4" s="80" t="s">
        <v>376</v>
      </c>
    </row>
    <row r="5" spans="2:12" x14ac:dyDescent="0.3">
      <c r="B5" s="80"/>
      <c r="C5" s="80"/>
      <c r="D5" s="80"/>
      <c r="E5" s="80"/>
      <c r="F5" s="80" t="s">
        <v>378</v>
      </c>
      <c r="G5" s="85">
        <v>2</v>
      </c>
      <c r="H5" s="80" t="s">
        <v>379</v>
      </c>
      <c r="I5" s="80"/>
      <c r="J5" s="80" t="s">
        <v>380</v>
      </c>
      <c r="K5" s="85">
        <v>2</v>
      </c>
      <c r="L5" s="80" t="s">
        <v>379</v>
      </c>
    </row>
    <row r="6" spans="2:12" x14ac:dyDescent="0.3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x14ac:dyDescent="0.3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15" spans="2:12" x14ac:dyDescent="0.3">
      <c r="B15" s="80" t="s">
        <v>381</v>
      </c>
      <c r="C15" t="s">
        <v>382</v>
      </c>
      <c r="E15" s="80" t="s">
        <v>383</v>
      </c>
    </row>
    <row r="16" spans="2:12" x14ac:dyDescent="0.3">
      <c r="B16" s="85" t="e">
        <f>IF(Generator!C45="55 mm",VLOOKUP(Generator!K45,'CD-Brake'!B3:C4,2,FALSE),IF(Generator!C45="70 mm",VLOOKUP(Generator!K45,'CD-Brake'!F3:G5,2,FALSE),VLOOKUP(Generator!K45,'CD-Brake'!J3:K5,2,FALSE)))</f>
        <v>#N/A</v>
      </c>
      <c r="C16" s="80" t="e">
        <f>IF(Generator!C45="55 mm",VLOOKUP(Generator!K45,'CD-Brake'!B3:D4,3,FALSE),IF(Generator!C45="70 mm", VLOOKUP(Generator!K45,'CD-Brake'!F3:H5,3,FALSE), VLOOKUP(Generator!K45,'CD-Brake'!J3:L5,3,FALSE)))</f>
        <v>#N/A</v>
      </c>
      <c r="E16" s="80" t="s">
        <v>384</v>
      </c>
    </row>
  </sheetData>
  <mergeCells count="3">
    <mergeCell ref="B1:C1"/>
    <mergeCell ref="F1:G1"/>
    <mergeCell ref="J1:K1"/>
  </mergeCells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4FC4-7B2F-4B58-86A5-C532BB4AD433}">
  <dimension ref="B1:K71"/>
  <sheetViews>
    <sheetView workbookViewId="0">
      <selection activeCell="E3" sqref="E3"/>
    </sheetView>
  </sheetViews>
  <sheetFormatPr defaultRowHeight="14.4" x14ac:dyDescent="0.3"/>
  <cols>
    <col min="2" max="2" width="22.44140625" bestFit="1" customWidth="1"/>
    <col min="3" max="3" width="20" bestFit="1" customWidth="1"/>
    <col min="5" max="5" width="11.109375" bestFit="1" customWidth="1"/>
    <col min="8" max="8" width="22.44140625" bestFit="1" customWidth="1"/>
    <col min="11" max="11" width="9.6640625" customWidth="1"/>
  </cols>
  <sheetData>
    <row r="1" spans="2:11" x14ac:dyDescent="0.3">
      <c r="B1" s="80" t="s">
        <v>385</v>
      </c>
      <c r="C1" s="80" t="s">
        <v>247</v>
      </c>
      <c r="E1" s="80" t="s">
        <v>247</v>
      </c>
      <c r="H1" s="80" t="s">
        <v>385</v>
      </c>
      <c r="I1" s="80" t="s">
        <v>386</v>
      </c>
      <c r="J1" s="80" t="s">
        <v>387</v>
      </c>
      <c r="K1" s="80" t="s">
        <v>388</v>
      </c>
    </row>
    <row r="2" spans="2:11" x14ac:dyDescent="0.3">
      <c r="B2" s="80" t="s">
        <v>389</v>
      </c>
      <c r="C2" s="80" t="s">
        <v>390</v>
      </c>
      <c r="E2" s="80" t="e">
        <f>VLOOKUP(Generator!C48,'CD-StallTorque'!B2:C71,2,FALSE)</f>
        <v>#N/A</v>
      </c>
      <c r="H2" s="80" t="s">
        <v>389</v>
      </c>
      <c r="I2" s="86">
        <v>799</v>
      </c>
      <c r="J2" s="86">
        <v>799</v>
      </c>
      <c r="K2" s="86">
        <v>0</v>
      </c>
    </row>
    <row r="3" spans="2:11" x14ac:dyDescent="0.3">
      <c r="B3" s="80" t="s">
        <v>391</v>
      </c>
      <c r="C3" s="80" t="s">
        <v>392</v>
      </c>
      <c r="E3" s="80"/>
      <c r="H3" s="80" t="s">
        <v>391</v>
      </c>
      <c r="I3" s="86">
        <v>809</v>
      </c>
      <c r="J3" s="86">
        <v>809</v>
      </c>
      <c r="K3" s="86">
        <v>0</v>
      </c>
    </row>
    <row r="4" spans="2:11" x14ac:dyDescent="0.3">
      <c r="B4" s="80" t="s">
        <v>393</v>
      </c>
      <c r="C4" s="80" t="s">
        <v>394</v>
      </c>
      <c r="E4" s="80"/>
      <c r="H4" s="80" t="s">
        <v>393</v>
      </c>
      <c r="I4" s="86">
        <v>832</v>
      </c>
      <c r="J4" s="86">
        <v>832</v>
      </c>
      <c r="K4" s="86">
        <v>0</v>
      </c>
    </row>
    <row r="5" spans="2:11" x14ac:dyDescent="0.3">
      <c r="B5" s="80" t="s">
        <v>395</v>
      </c>
      <c r="C5" s="80" t="s">
        <v>396</v>
      </c>
      <c r="E5" s="80"/>
      <c r="H5" s="80" t="s">
        <v>395</v>
      </c>
      <c r="I5" s="86">
        <v>980</v>
      </c>
      <c r="J5" s="86">
        <v>980</v>
      </c>
      <c r="K5" s="86">
        <v>0</v>
      </c>
    </row>
    <row r="6" spans="2:11" x14ac:dyDescent="0.3">
      <c r="B6" s="80" t="s">
        <v>397</v>
      </c>
      <c r="C6" s="80" t="s">
        <v>390</v>
      </c>
      <c r="E6" s="80"/>
      <c r="H6" s="80" t="s">
        <v>397</v>
      </c>
      <c r="I6" s="86">
        <v>920</v>
      </c>
      <c r="J6" s="86">
        <v>920</v>
      </c>
      <c r="K6" s="86">
        <v>0</v>
      </c>
    </row>
    <row r="7" spans="2:11" x14ac:dyDescent="0.3">
      <c r="B7" s="80" t="s">
        <v>398</v>
      </c>
      <c r="C7" s="80" t="s">
        <v>392</v>
      </c>
      <c r="E7" s="80"/>
      <c r="H7" s="80" t="s">
        <v>398</v>
      </c>
      <c r="I7" s="86">
        <v>936</v>
      </c>
      <c r="J7" s="86">
        <v>936</v>
      </c>
      <c r="K7" s="86">
        <v>0</v>
      </c>
    </row>
    <row r="8" spans="2:11" x14ac:dyDescent="0.3">
      <c r="B8" s="80" t="s">
        <v>399</v>
      </c>
      <c r="C8" s="80" t="s">
        <v>394</v>
      </c>
      <c r="E8" s="80"/>
      <c r="H8" s="80" t="s">
        <v>399</v>
      </c>
      <c r="I8" s="86">
        <v>953</v>
      </c>
      <c r="J8" s="86">
        <v>953</v>
      </c>
      <c r="K8" s="86">
        <v>0</v>
      </c>
    </row>
    <row r="9" spans="2:11" x14ac:dyDescent="0.3">
      <c r="B9" s="80" t="s">
        <v>400</v>
      </c>
      <c r="C9" s="80" t="s">
        <v>396</v>
      </c>
      <c r="E9" s="80"/>
      <c r="H9" s="80" t="s">
        <v>400</v>
      </c>
      <c r="I9" s="86">
        <v>1067</v>
      </c>
      <c r="J9" s="86">
        <v>1067</v>
      </c>
      <c r="K9" s="86">
        <v>0</v>
      </c>
    </row>
    <row r="10" spans="2:11" x14ac:dyDescent="0.3">
      <c r="B10" s="80" t="s">
        <v>401</v>
      </c>
      <c r="C10" s="80" t="s">
        <v>402</v>
      </c>
      <c r="E10" s="80"/>
      <c r="H10" s="80" t="s">
        <v>401</v>
      </c>
      <c r="I10" s="86">
        <v>811</v>
      </c>
      <c r="J10" s="86">
        <v>811</v>
      </c>
      <c r="K10" s="86">
        <v>0</v>
      </c>
    </row>
    <row r="11" spans="2:11" x14ac:dyDescent="0.3">
      <c r="B11" s="80" t="s">
        <v>403</v>
      </c>
      <c r="C11" s="80" t="s">
        <v>404</v>
      </c>
      <c r="E11" s="80"/>
      <c r="H11" s="80" t="s">
        <v>403</v>
      </c>
      <c r="I11" s="86">
        <v>824</v>
      </c>
      <c r="J11" s="86">
        <v>824</v>
      </c>
      <c r="K11" s="86">
        <v>0</v>
      </c>
    </row>
    <row r="12" spans="2:11" x14ac:dyDescent="0.3">
      <c r="B12" s="80" t="s">
        <v>405</v>
      </c>
      <c r="C12" s="80" t="s">
        <v>406</v>
      </c>
      <c r="E12" s="80"/>
      <c r="H12" s="80" t="s">
        <v>405</v>
      </c>
      <c r="I12" s="86">
        <v>909</v>
      </c>
      <c r="J12" s="86">
        <v>909</v>
      </c>
      <c r="K12" s="86">
        <v>0</v>
      </c>
    </row>
    <row r="13" spans="2:11" x14ac:dyDescent="0.3">
      <c r="B13" s="80" t="s">
        <v>407</v>
      </c>
      <c r="C13" s="80" t="s">
        <v>408</v>
      </c>
      <c r="E13" s="80"/>
      <c r="H13" s="80" t="s">
        <v>407</v>
      </c>
      <c r="I13" s="86">
        <v>997</v>
      </c>
      <c r="J13" s="86">
        <v>997</v>
      </c>
      <c r="K13" s="86">
        <v>0</v>
      </c>
    </row>
    <row r="14" spans="2:11" x14ac:dyDescent="0.3">
      <c r="B14" s="80" t="s">
        <v>409</v>
      </c>
      <c r="C14" s="80" t="s">
        <v>402</v>
      </c>
      <c r="E14" s="80"/>
      <c r="H14" s="80" t="s">
        <v>409</v>
      </c>
      <c r="I14" s="86">
        <v>936</v>
      </c>
      <c r="J14" s="86">
        <v>936</v>
      </c>
      <c r="K14" s="86">
        <v>0</v>
      </c>
    </row>
    <row r="15" spans="2:11" x14ac:dyDescent="0.3">
      <c r="B15" s="80" t="s">
        <v>410</v>
      </c>
      <c r="C15" s="80" t="s">
        <v>404</v>
      </c>
      <c r="E15" s="80"/>
      <c r="H15" s="80" t="s">
        <v>410</v>
      </c>
      <c r="I15" s="86">
        <v>954</v>
      </c>
      <c r="J15" s="86">
        <v>954</v>
      </c>
      <c r="K15" s="86">
        <v>0</v>
      </c>
    </row>
    <row r="16" spans="2:11" x14ac:dyDescent="0.3">
      <c r="B16" s="80" t="s">
        <v>411</v>
      </c>
      <c r="C16" s="80" t="s">
        <v>406</v>
      </c>
      <c r="E16" s="80"/>
      <c r="H16" s="80" t="s">
        <v>411</v>
      </c>
      <c r="I16" s="86">
        <v>968</v>
      </c>
      <c r="J16" s="86">
        <v>968</v>
      </c>
      <c r="K16" s="86">
        <v>0</v>
      </c>
    </row>
    <row r="17" spans="2:11" x14ac:dyDescent="0.3">
      <c r="B17" s="80" t="s">
        <v>412</v>
      </c>
      <c r="C17" s="80" t="s">
        <v>408</v>
      </c>
      <c r="E17" s="80"/>
      <c r="H17" s="80" t="s">
        <v>412</v>
      </c>
      <c r="I17" s="86">
        <v>1101</v>
      </c>
      <c r="J17" s="86">
        <v>1101</v>
      </c>
      <c r="K17" s="86">
        <v>0</v>
      </c>
    </row>
    <row r="18" spans="2:11" x14ac:dyDescent="0.3">
      <c r="B18" s="80" t="s">
        <v>413</v>
      </c>
      <c r="C18" s="80" t="s">
        <v>414</v>
      </c>
      <c r="E18" s="80"/>
      <c r="H18" s="80" t="s">
        <v>413</v>
      </c>
      <c r="I18" s="86">
        <v>825</v>
      </c>
      <c r="J18" s="86">
        <v>825</v>
      </c>
      <c r="K18" s="86">
        <v>0</v>
      </c>
    </row>
    <row r="19" spans="2:11" x14ac:dyDescent="0.3">
      <c r="B19" s="80" t="s">
        <v>415</v>
      </c>
      <c r="C19" s="80" t="s">
        <v>416</v>
      </c>
      <c r="E19" s="80"/>
      <c r="H19" s="80" t="s">
        <v>415</v>
      </c>
      <c r="I19" s="86">
        <v>865</v>
      </c>
      <c r="J19" s="86">
        <v>865</v>
      </c>
      <c r="K19" s="86">
        <v>0</v>
      </c>
    </row>
    <row r="20" spans="2:11" x14ac:dyDescent="0.3">
      <c r="B20" s="80" t="s">
        <v>417</v>
      </c>
      <c r="C20" s="80" t="s">
        <v>418</v>
      </c>
      <c r="E20" s="80"/>
      <c r="H20" s="80" t="s">
        <v>417</v>
      </c>
      <c r="I20" s="86">
        <v>903</v>
      </c>
      <c r="J20" s="86">
        <v>903</v>
      </c>
      <c r="K20" s="86">
        <v>0</v>
      </c>
    </row>
    <row r="21" spans="2:11" x14ac:dyDescent="0.3">
      <c r="B21" s="80" t="s">
        <v>419</v>
      </c>
      <c r="C21" s="80" t="s">
        <v>420</v>
      </c>
      <c r="E21" s="80"/>
      <c r="H21" s="80" t="s">
        <v>419</v>
      </c>
      <c r="I21" s="86">
        <v>1057</v>
      </c>
      <c r="J21" s="86">
        <v>1057</v>
      </c>
      <c r="K21" s="86">
        <v>0</v>
      </c>
    </row>
    <row r="22" spans="2:11" x14ac:dyDescent="0.3">
      <c r="B22" s="80" t="s">
        <v>421</v>
      </c>
      <c r="C22" s="80" t="s">
        <v>414</v>
      </c>
      <c r="E22" s="80"/>
      <c r="H22" s="80" t="s">
        <v>421</v>
      </c>
      <c r="I22" s="86">
        <v>1071</v>
      </c>
      <c r="J22" s="86">
        <v>1071</v>
      </c>
      <c r="K22" s="86">
        <v>0</v>
      </c>
    </row>
    <row r="23" spans="2:11" x14ac:dyDescent="0.3">
      <c r="B23" s="80" t="s">
        <v>422</v>
      </c>
      <c r="C23" s="80" t="s">
        <v>416</v>
      </c>
      <c r="E23" s="80"/>
      <c r="H23" s="80" t="s">
        <v>422</v>
      </c>
      <c r="I23" s="86">
        <v>982</v>
      </c>
      <c r="J23" s="86">
        <v>982</v>
      </c>
      <c r="K23" s="86">
        <v>0</v>
      </c>
    </row>
    <row r="24" spans="2:11" x14ac:dyDescent="0.3">
      <c r="B24" s="80" t="s">
        <v>423</v>
      </c>
      <c r="C24" s="80" t="s">
        <v>418</v>
      </c>
      <c r="E24" s="80"/>
      <c r="H24" s="80" t="s">
        <v>423</v>
      </c>
      <c r="I24" s="86">
        <v>1028</v>
      </c>
      <c r="J24" s="86">
        <v>1028</v>
      </c>
      <c r="K24" s="86">
        <v>0</v>
      </c>
    </row>
    <row r="25" spans="2:11" x14ac:dyDescent="0.3">
      <c r="B25" s="80" t="s">
        <v>424</v>
      </c>
      <c r="C25" s="80" t="s">
        <v>420</v>
      </c>
      <c r="E25" s="80"/>
      <c r="H25" s="80" t="s">
        <v>424</v>
      </c>
      <c r="I25" s="86">
        <v>1148</v>
      </c>
      <c r="J25" s="86">
        <v>1148</v>
      </c>
      <c r="K25" s="86">
        <v>0</v>
      </c>
    </row>
    <row r="26" spans="2:11" x14ac:dyDescent="0.3">
      <c r="B26" s="80" t="s">
        <v>425</v>
      </c>
      <c r="C26" s="80" t="s">
        <v>414</v>
      </c>
      <c r="E26" s="80"/>
      <c r="H26" s="80" t="s">
        <v>425</v>
      </c>
      <c r="I26" s="86">
        <v>0</v>
      </c>
      <c r="J26" s="86">
        <v>0</v>
      </c>
      <c r="K26" s="86">
        <v>0</v>
      </c>
    </row>
    <row r="27" spans="2:11" x14ac:dyDescent="0.3">
      <c r="B27" s="80" t="s">
        <v>426</v>
      </c>
      <c r="C27" s="80" t="s">
        <v>416</v>
      </c>
      <c r="E27" s="80"/>
      <c r="H27" s="80" t="s">
        <v>426</v>
      </c>
      <c r="I27" s="86">
        <v>0</v>
      </c>
      <c r="J27" s="86">
        <v>0</v>
      </c>
      <c r="K27" s="86">
        <v>0</v>
      </c>
    </row>
    <row r="28" spans="2:11" x14ac:dyDescent="0.3">
      <c r="B28" s="80" t="s">
        <v>427</v>
      </c>
      <c r="C28" s="80" t="s">
        <v>418</v>
      </c>
      <c r="E28" s="80"/>
      <c r="H28" s="80" t="s">
        <v>427</v>
      </c>
      <c r="I28" s="86">
        <v>0</v>
      </c>
      <c r="J28" s="86">
        <v>0</v>
      </c>
      <c r="K28" s="86">
        <v>0</v>
      </c>
    </row>
    <row r="29" spans="2:11" x14ac:dyDescent="0.3">
      <c r="B29" s="80" t="s">
        <v>428</v>
      </c>
      <c r="C29" s="80" t="s">
        <v>420</v>
      </c>
      <c r="E29" s="80"/>
      <c r="H29" s="80" t="s">
        <v>428</v>
      </c>
      <c r="I29" s="86">
        <v>0</v>
      </c>
      <c r="J29" s="86">
        <v>0</v>
      </c>
      <c r="K29" s="86">
        <v>0</v>
      </c>
    </row>
    <row r="30" spans="2:11" x14ac:dyDescent="0.3">
      <c r="B30" s="80" t="s">
        <v>429</v>
      </c>
      <c r="C30" s="80" t="s">
        <v>430</v>
      </c>
      <c r="E30" s="80"/>
      <c r="H30" s="80" t="s">
        <v>429</v>
      </c>
      <c r="I30" s="86">
        <v>863</v>
      </c>
      <c r="J30" s="86">
        <v>863</v>
      </c>
      <c r="K30" s="86">
        <v>0</v>
      </c>
    </row>
    <row r="31" spans="2:11" x14ac:dyDescent="0.3">
      <c r="B31" s="80" t="s">
        <v>431</v>
      </c>
      <c r="C31" s="80" t="s">
        <v>432</v>
      </c>
      <c r="E31" s="80"/>
      <c r="H31" s="80" t="s">
        <v>431</v>
      </c>
      <c r="I31" s="86">
        <v>892</v>
      </c>
      <c r="J31" s="86">
        <v>892</v>
      </c>
      <c r="K31" s="86">
        <v>0</v>
      </c>
    </row>
    <row r="32" spans="2:11" x14ac:dyDescent="0.3">
      <c r="B32" s="80" t="s">
        <v>433</v>
      </c>
      <c r="C32" s="80" t="s">
        <v>434</v>
      </c>
      <c r="E32" s="80"/>
      <c r="H32" s="80" t="s">
        <v>433</v>
      </c>
      <c r="I32" s="86">
        <v>923</v>
      </c>
      <c r="J32" s="86">
        <v>923</v>
      </c>
      <c r="K32" s="86">
        <v>0</v>
      </c>
    </row>
    <row r="33" spans="2:11" x14ac:dyDescent="0.3">
      <c r="B33" s="80" t="s">
        <v>435</v>
      </c>
      <c r="C33" s="80" t="s">
        <v>436</v>
      </c>
      <c r="E33" s="80"/>
      <c r="H33" s="80" t="s">
        <v>435</v>
      </c>
      <c r="I33" s="86">
        <v>1132</v>
      </c>
      <c r="J33" s="86">
        <v>1132</v>
      </c>
      <c r="K33" s="86">
        <v>0</v>
      </c>
    </row>
    <row r="34" spans="2:11" x14ac:dyDescent="0.3">
      <c r="B34" s="80" t="s">
        <v>437</v>
      </c>
      <c r="C34" s="80" t="s">
        <v>430</v>
      </c>
      <c r="E34" s="80"/>
      <c r="H34" s="80" t="s">
        <v>437</v>
      </c>
      <c r="I34" s="86">
        <v>1088</v>
      </c>
      <c r="J34" s="86">
        <v>1088</v>
      </c>
      <c r="K34" s="86">
        <v>0</v>
      </c>
    </row>
    <row r="35" spans="2:11" x14ac:dyDescent="0.3">
      <c r="B35" s="80" t="s">
        <v>438</v>
      </c>
      <c r="C35" s="80" t="s">
        <v>432</v>
      </c>
      <c r="E35" s="80"/>
      <c r="H35" s="80" t="s">
        <v>438</v>
      </c>
      <c r="I35" s="86">
        <v>1081</v>
      </c>
      <c r="J35" s="86">
        <v>1081</v>
      </c>
      <c r="K35" s="86">
        <v>0</v>
      </c>
    </row>
    <row r="36" spans="2:11" x14ac:dyDescent="0.3">
      <c r="B36" s="80" t="s">
        <v>439</v>
      </c>
      <c r="C36" s="80" t="s">
        <v>434</v>
      </c>
      <c r="E36" s="80"/>
      <c r="H36" s="80" t="s">
        <v>439</v>
      </c>
      <c r="I36" s="86">
        <v>1008</v>
      </c>
      <c r="J36" s="86">
        <v>1008</v>
      </c>
      <c r="K36" s="86">
        <v>0</v>
      </c>
    </row>
    <row r="37" spans="2:11" x14ac:dyDescent="0.3">
      <c r="B37" s="80" t="s">
        <v>440</v>
      </c>
      <c r="C37" s="80" t="s">
        <v>436</v>
      </c>
      <c r="E37" s="80"/>
      <c r="H37" s="80" t="s">
        <v>440</v>
      </c>
      <c r="I37" s="86">
        <v>1223</v>
      </c>
      <c r="J37" s="86">
        <v>1223</v>
      </c>
      <c r="K37" s="86">
        <v>0</v>
      </c>
    </row>
    <row r="38" spans="2:11" x14ac:dyDescent="0.3">
      <c r="B38" s="80" t="s">
        <v>441</v>
      </c>
      <c r="C38" s="80" t="s">
        <v>430</v>
      </c>
      <c r="E38" s="80"/>
      <c r="H38" s="80" t="s">
        <v>441</v>
      </c>
      <c r="I38" s="86">
        <v>0</v>
      </c>
      <c r="J38" s="86">
        <v>0</v>
      </c>
      <c r="K38" s="86">
        <v>0</v>
      </c>
    </row>
    <row r="39" spans="2:11" x14ac:dyDescent="0.3">
      <c r="B39" s="80" t="s">
        <v>442</v>
      </c>
      <c r="C39" s="80" t="s">
        <v>432</v>
      </c>
      <c r="E39" s="80"/>
      <c r="H39" s="80" t="s">
        <v>442</v>
      </c>
      <c r="I39" s="86">
        <v>0</v>
      </c>
      <c r="J39" s="86">
        <v>0</v>
      </c>
      <c r="K39" s="86">
        <v>0</v>
      </c>
    </row>
    <row r="40" spans="2:11" x14ac:dyDescent="0.3">
      <c r="B40" s="80" t="s">
        <v>443</v>
      </c>
      <c r="C40" s="80" t="s">
        <v>434</v>
      </c>
      <c r="E40" s="80"/>
      <c r="H40" s="80" t="s">
        <v>443</v>
      </c>
      <c r="I40" s="86">
        <v>0</v>
      </c>
      <c r="J40" s="86">
        <v>0</v>
      </c>
      <c r="K40" s="86">
        <v>0</v>
      </c>
    </row>
    <row r="41" spans="2:11" x14ac:dyDescent="0.3">
      <c r="B41" s="80" t="s">
        <v>444</v>
      </c>
      <c r="C41" s="80" t="s">
        <v>436</v>
      </c>
      <c r="E41" s="80"/>
      <c r="H41" s="80" t="s">
        <v>444</v>
      </c>
      <c r="I41" s="86">
        <v>0</v>
      </c>
      <c r="J41" s="86">
        <v>0</v>
      </c>
      <c r="K41" s="86">
        <v>0</v>
      </c>
    </row>
    <row r="42" spans="2:11" x14ac:dyDescent="0.3">
      <c r="B42" s="80" t="s">
        <v>445</v>
      </c>
      <c r="C42" s="80" t="s">
        <v>446</v>
      </c>
      <c r="E42" s="80"/>
      <c r="H42" s="80" t="s">
        <v>445</v>
      </c>
      <c r="I42" s="86">
        <v>920</v>
      </c>
      <c r="J42" s="86">
        <v>920</v>
      </c>
      <c r="K42" s="86">
        <v>0</v>
      </c>
    </row>
    <row r="43" spans="2:11" x14ac:dyDescent="0.3">
      <c r="B43" s="80" t="s">
        <v>447</v>
      </c>
      <c r="C43" s="80" t="s">
        <v>448</v>
      </c>
      <c r="E43" s="80"/>
      <c r="H43" s="80" t="s">
        <v>447</v>
      </c>
      <c r="I43" s="86">
        <v>985</v>
      </c>
      <c r="J43" s="86">
        <v>985</v>
      </c>
      <c r="K43" s="86">
        <v>0</v>
      </c>
    </row>
    <row r="44" spans="2:11" x14ac:dyDescent="0.3">
      <c r="B44" s="80" t="s">
        <v>449</v>
      </c>
      <c r="C44" s="80" t="s">
        <v>450</v>
      </c>
      <c r="E44" s="80"/>
      <c r="H44" s="80" t="s">
        <v>449</v>
      </c>
      <c r="I44" s="86">
        <v>1000</v>
      </c>
      <c r="J44" s="86">
        <v>1000</v>
      </c>
      <c r="K44" s="86">
        <v>0</v>
      </c>
    </row>
    <row r="45" spans="2:11" x14ac:dyDescent="0.3">
      <c r="B45" s="80" t="s">
        <v>451</v>
      </c>
      <c r="C45" s="80" t="s">
        <v>452</v>
      </c>
      <c r="E45" s="80"/>
      <c r="H45" s="80" t="s">
        <v>451</v>
      </c>
      <c r="I45" s="86">
        <v>1225</v>
      </c>
      <c r="J45" s="86">
        <v>1225</v>
      </c>
      <c r="K45" s="86">
        <v>0</v>
      </c>
    </row>
    <row r="46" spans="2:11" x14ac:dyDescent="0.3">
      <c r="B46" s="80" t="s">
        <v>453</v>
      </c>
      <c r="C46" s="80" t="s">
        <v>454</v>
      </c>
      <c r="E46" s="80"/>
      <c r="H46" s="80" t="s">
        <v>453</v>
      </c>
      <c r="I46" s="86">
        <v>1431</v>
      </c>
      <c r="J46" s="86">
        <v>1431</v>
      </c>
      <c r="K46" s="86">
        <v>0</v>
      </c>
    </row>
    <row r="47" spans="2:11" x14ac:dyDescent="0.3">
      <c r="B47" s="80" t="s">
        <v>455</v>
      </c>
      <c r="C47" s="80" t="s">
        <v>446</v>
      </c>
      <c r="E47" s="80"/>
      <c r="H47" s="80" t="s">
        <v>455</v>
      </c>
      <c r="I47" s="86">
        <v>1078</v>
      </c>
      <c r="J47" s="86">
        <v>1078</v>
      </c>
      <c r="K47" s="86">
        <v>0</v>
      </c>
    </row>
    <row r="48" spans="2:11" x14ac:dyDescent="0.3">
      <c r="B48" s="80" t="s">
        <v>456</v>
      </c>
      <c r="C48" s="80" t="s">
        <v>448</v>
      </c>
      <c r="E48" s="80"/>
      <c r="H48" s="80" t="s">
        <v>456</v>
      </c>
      <c r="I48" s="86">
        <v>1153</v>
      </c>
      <c r="J48" s="86">
        <v>1153</v>
      </c>
      <c r="K48" s="86">
        <v>0</v>
      </c>
    </row>
    <row r="49" spans="2:11" x14ac:dyDescent="0.3">
      <c r="B49" s="80" t="s">
        <v>457</v>
      </c>
      <c r="C49" s="80" t="s">
        <v>450</v>
      </c>
      <c r="E49" s="80"/>
      <c r="H49" s="80" t="s">
        <v>457</v>
      </c>
      <c r="I49" s="86">
        <v>1100</v>
      </c>
      <c r="J49" s="86">
        <v>1100</v>
      </c>
      <c r="K49" s="86">
        <v>0</v>
      </c>
    </row>
    <row r="50" spans="2:11" x14ac:dyDescent="0.3">
      <c r="B50" s="80" t="s">
        <v>458</v>
      </c>
      <c r="C50" s="80" t="s">
        <v>452</v>
      </c>
      <c r="E50" s="80"/>
      <c r="H50" s="80" t="s">
        <v>458</v>
      </c>
      <c r="I50" s="86">
        <v>1392</v>
      </c>
      <c r="J50" s="86">
        <v>1392</v>
      </c>
      <c r="K50" s="86">
        <v>0</v>
      </c>
    </row>
    <row r="51" spans="2:11" x14ac:dyDescent="0.3">
      <c r="B51" s="80" t="s">
        <v>459</v>
      </c>
      <c r="C51" s="80" t="s">
        <v>454</v>
      </c>
      <c r="E51" s="80"/>
      <c r="H51" s="80" t="s">
        <v>459</v>
      </c>
      <c r="I51" s="86">
        <v>1677</v>
      </c>
      <c r="J51" s="86">
        <v>1677</v>
      </c>
      <c r="K51" s="86">
        <v>0</v>
      </c>
    </row>
    <row r="52" spans="2:11" x14ac:dyDescent="0.3">
      <c r="B52" s="80" t="s">
        <v>460</v>
      </c>
      <c r="C52" s="80" t="s">
        <v>446</v>
      </c>
      <c r="E52" s="80"/>
      <c r="H52" s="80" t="s">
        <v>460</v>
      </c>
      <c r="I52" s="86">
        <v>0</v>
      </c>
      <c r="J52" s="86">
        <v>0</v>
      </c>
      <c r="K52" s="86">
        <v>0</v>
      </c>
    </row>
    <row r="53" spans="2:11" x14ac:dyDescent="0.3">
      <c r="B53" s="80" t="s">
        <v>461</v>
      </c>
      <c r="C53" s="80" t="s">
        <v>448</v>
      </c>
      <c r="E53" s="80"/>
      <c r="H53" s="80" t="s">
        <v>461</v>
      </c>
      <c r="I53" s="86">
        <v>0</v>
      </c>
      <c r="J53" s="86">
        <v>0</v>
      </c>
      <c r="K53" s="86">
        <v>0</v>
      </c>
    </row>
    <row r="54" spans="2:11" x14ac:dyDescent="0.3">
      <c r="B54" s="80" t="s">
        <v>462</v>
      </c>
      <c r="C54" s="80" t="s">
        <v>450</v>
      </c>
      <c r="E54" s="80"/>
      <c r="H54" s="80" t="s">
        <v>462</v>
      </c>
      <c r="I54" s="86">
        <v>0</v>
      </c>
      <c r="J54" s="86">
        <v>0</v>
      </c>
      <c r="K54" s="86">
        <v>0</v>
      </c>
    </row>
    <row r="55" spans="2:11" x14ac:dyDescent="0.3">
      <c r="B55" s="80" t="s">
        <v>463</v>
      </c>
      <c r="C55" s="80" t="s">
        <v>452</v>
      </c>
      <c r="E55" s="80"/>
      <c r="H55" s="80" t="s">
        <v>463</v>
      </c>
      <c r="I55" s="86">
        <v>0</v>
      </c>
      <c r="J55" s="86">
        <v>0</v>
      </c>
      <c r="K55" s="86">
        <v>0</v>
      </c>
    </row>
    <row r="56" spans="2:11" x14ac:dyDescent="0.3">
      <c r="B56" s="80" t="s">
        <v>464</v>
      </c>
      <c r="C56" s="80" t="s">
        <v>454</v>
      </c>
      <c r="E56" s="80"/>
      <c r="H56" s="80" t="s">
        <v>464</v>
      </c>
      <c r="I56" s="86">
        <v>0</v>
      </c>
      <c r="J56" s="86">
        <v>0</v>
      </c>
      <c r="K56" s="86">
        <v>0</v>
      </c>
    </row>
    <row r="57" spans="2:11" x14ac:dyDescent="0.3">
      <c r="B57" s="80" t="s">
        <v>465</v>
      </c>
      <c r="C57" s="80" t="s">
        <v>466</v>
      </c>
      <c r="E57" s="80"/>
      <c r="H57" s="80" t="s">
        <v>465</v>
      </c>
      <c r="I57" s="86">
        <v>947</v>
      </c>
      <c r="J57" s="86">
        <v>947</v>
      </c>
      <c r="K57" s="86">
        <v>0</v>
      </c>
    </row>
    <row r="58" spans="2:11" x14ac:dyDescent="0.3">
      <c r="B58" s="80" t="s">
        <v>467</v>
      </c>
      <c r="C58" s="80" t="s">
        <v>468</v>
      </c>
      <c r="E58" s="80"/>
      <c r="H58" s="80" t="s">
        <v>467</v>
      </c>
      <c r="I58" s="86">
        <v>1102</v>
      </c>
      <c r="J58" s="86">
        <v>1102</v>
      </c>
      <c r="K58" s="86">
        <v>0</v>
      </c>
    </row>
    <row r="59" spans="2:11" x14ac:dyDescent="0.3">
      <c r="B59" s="80" t="s">
        <v>469</v>
      </c>
      <c r="C59" s="80" t="s">
        <v>470</v>
      </c>
      <c r="E59" s="80"/>
      <c r="H59" s="80" t="s">
        <v>469</v>
      </c>
      <c r="I59" s="86">
        <v>1005</v>
      </c>
      <c r="J59" s="86">
        <v>1005</v>
      </c>
      <c r="K59" s="86">
        <v>0</v>
      </c>
    </row>
    <row r="60" spans="2:11" x14ac:dyDescent="0.3">
      <c r="B60" s="80" t="s">
        <v>471</v>
      </c>
      <c r="C60" s="80" t="s">
        <v>472</v>
      </c>
      <c r="E60" s="80"/>
      <c r="H60" s="80" t="s">
        <v>471</v>
      </c>
      <c r="I60" s="86">
        <v>1309</v>
      </c>
      <c r="J60" s="86">
        <v>1309</v>
      </c>
      <c r="K60" s="86">
        <v>0</v>
      </c>
    </row>
    <row r="61" spans="2:11" x14ac:dyDescent="0.3">
      <c r="B61" s="80" t="s">
        <v>473</v>
      </c>
      <c r="C61" s="80" t="s">
        <v>474</v>
      </c>
      <c r="E61" s="80"/>
      <c r="H61" s="80" t="s">
        <v>473</v>
      </c>
      <c r="I61" s="86">
        <v>1505</v>
      </c>
      <c r="J61" s="86">
        <v>1505</v>
      </c>
      <c r="K61" s="86">
        <v>0</v>
      </c>
    </row>
    <row r="62" spans="2:11" x14ac:dyDescent="0.3">
      <c r="B62" s="80" t="s">
        <v>475</v>
      </c>
      <c r="C62" s="80" t="s">
        <v>466</v>
      </c>
      <c r="E62" s="80"/>
      <c r="H62" s="80" t="s">
        <v>475</v>
      </c>
      <c r="I62" s="86">
        <v>1095</v>
      </c>
      <c r="J62" s="86">
        <v>1095</v>
      </c>
      <c r="K62" s="86">
        <v>0</v>
      </c>
    </row>
    <row r="63" spans="2:11" x14ac:dyDescent="0.3">
      <c r="B63" s="80" t="s">
        <v>476</v>
      </c>
      <c r="C63" s="80" t="s">
        <v>468</v>
      </c>
      <c r="E63" s="80"/>
      <c r="H63" s="80" t="s">
        <v>476</v>
      </c>
      <c r="I63" s="86">
        <v>1170</v>
      </c>
      <c r="J63" s="86">
        <v>1170</v>
      </c>
      <c r="K63" s="86">
        <v>0</v>
      </c>
    </row>
    <row r="64" spans="2:11" x14ac:dyDescent="0.3">
      <c r="B64" s="80" t="s">
        <v>477</v>
      </c>
      <c r="C64" s="80" t="s">
        <v>470</v>
      </c>
      <c r="E64" s="80"/>
      <c r="H64" s="80" t="s">
        <v>477</v>
      </c>
      <c r="I64" s="86">
        <v>1190</v>
      </c>
      <c r="J64" s="86">
        <v>1190</v>
      </c>
      <c r="K64" s="86">
        <v>0</v>
      </c>
    </row>
    <row r="65" spans="2:11" x14ac:dyDescent="0.3">
      <c r="B65" s="80" t="s">
        <v>478</v>
      </c>
      <c r="C65" s="80" t="s">
        <v>472</v>
      </c>
      <c r="E65" s="80"/>
      <c r="H65" s="80" t="s">
        <v>478</v>
      </c>
      <c r="I65" s="86">
        <v>1477</v>
      </c>
      <c r="J65" s="86">
        <v>1477</v>
      </c>
      <c r="K65" s="86">
        <v>0</v>
      </c>
    </row>
    <row r="66" spans="2:11" x14ac:dyDescent="0.3">
      <c r="B66" s="80" t="s">
        <v>479</v>
      </c>
      <c r="C66" s="80" t="s">
        <v>474</v>
      </c>
      <c r="E66" s="80"/>
      <c r="H66" s="80" t="s">
        <v>479</v>
      </c>
      <c r="I66" s="86">
        <v>1711</v>
      </c>
      <c r="J66" s="86">
        <v>1711</v>
      </c>
      <c r="K66" s="86">
        <v>0</v>
      </c>
    </row>
    <row r="67" spans="2:11" x14ac:dyDescent="0.3">
      <c r="B67" s="80" t="s">
        <v>480</v>
      </c>
      <c r="C67" s="80" t="s">
        <v>466</v>
      </c>
      <c r="E67" s="80"/>
      <c r="H67" s="80" t="s">
        <v>480</v>
      </c>
      <c r="I67" s="86">
        <v>0</v>
      </c>
      <c r="J67" s="86">
        <v>0</v>
      </c>
      <c r="K67" s="86">
        <v>0</v>
      </c>
    </row>
    <row r="68" spans="2:11" x14ac:dyDescent="0.3">
      <c r="B68" s="80" t="s">
        <v>481</v>
      </c>
      <c r="C68" s="80" t="s">
        <v>468</v>
      </c>
      <c r="E68" s="80"/>
      <c r="H68" s="80" t="s">
        <v>481</v>
      </c>
      <c r="I68" s="86">
        <v>0</v>
      </c>
      <c r="J68" s="86">
        <v>0</v>
      </c>
      <c r="K68" s="86">
        <v>0</v>
      </c>
    </row>
    <row r="69" spans="2:11" x14ac:dyDescent="0.3">
      <c r="B69" s="80" t="s">
        <v>482</v>
      </c>
      <c r="C69" s="80" t="s">
        <v>470</v>
      </c>
      <c r="E69" s="80"/>
      <c r="H69" s="80" t="s">
        <v>482</v>
      </c>
      <c r="I69" s="86">
        <v>0</v>
      </c>
      <c r="J69" s="86">
        <v>0</v>
      </c>
      <c r="K69" s="86">
        <v>0</v>
      </c>
    </row>
    <row r="70" spans="2:11" x14ac:dyDescent="0.3">
      <c r="B70" s="80" t="s">
        <v>483</v>
      </c>
      <c r="C70" s="80" t="s">
        <v>472</v>
      </c>
      <c r="E70" s="80"/>
      <c r="H70" s="80" t="s">
        <v>483</v>
      </c>
      <c r="I70" s="86">
        <v>0</v>
      </c>
      <c r="J70" s="86">
        <v>0</v>
      </c>
      <c r="K70" s="86">
        <v>0</v>
      </c>
    </row>
    <row r="71" spans="2:11" x14ac:dyDescent="0.3">
      <c r="B71" s="80" t="s">
        <v>484</v>
      </c>
      <c r="C71" s="80" t="s">
        <v>474</v>
      </c>
      <c r="E71" s="80"/>
      <c r="H71" s="80" t="s">
        <v>484</v>
      </c>
      <c r="I71" s="86">
        <v>0</v>
      </c>
      <c r="J71" s="86">
        <v>0</v>
      </c>
      <c r="K71" s="86">
        <v>0</v>
      </c>
    </row>
  </sheetData>
  <pageMargins left="0.7" right="0.7" top="0.75" bottom="0.75" header="0.3" footer="0.3"/>
  <pageSetup orientation="portrait" horizontalDpi="300" verticalDpi="300" r:id="rId1"/>
  <headerFooter differentOddEven="1">
    <oddHeader>&amp;C&amp;8This document contains technology subject to the U.S. Export Administration Regulations (EAR) and may not be exported without proper authorization. Diversion contrary to U.S. law is prohibited.</oddHeader>
    <evenHeader>&amp;C&amp;8This document contains technology subject to the U.S. Export Administration Regulations (EAR) and may not be exported without proper authorization. Diversion contrary to U.S. law is prohibited.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c2f100a-f477-4651-b120-ab080af013ca">Uploaded</Status>
    <Category xmlns="4c2f100a-f477-4651-b120-ab080af013ca">Price List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1658337064D409784B1282DB06B22" ma:contentTypeVersion="2" ma:contentTypeDescription="Create a new document." ma:contentTypeScope="" ma:versionID="71ada09fde2c54b02eac67f3ae08811f">
  <xsd:schema xmlns:xsd="http://www.w3.org/2001/XMLSchema" xmlns:xs="http://www.w3.org/2001/XMLSchema" xmlns:p="http://schemas.microsoft.com/office/2006/metadata/properties" xmlns:ns2="4c2f100a-f477-4651-b120-ab080af013ca" targetNamespace="http://schemas.microsoft.com/office/2006/metadata/properties" ma:root="true" ma:fieldsID="c9ad0f714a37f819a06a6015c95146bb" ns2:_="">
    <xsd:import namespace="4c2f100a-f477-4651-b120-ab080af013ca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f100a-f477-4651-b120-ab080af013ca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Category" ma:default="Forms" ma:description="Forms&#10;Price List" ma:format="Dropdown" ma:internalName="Category">
      <xsd:simpleType>
        <xsd:restriction base="dms:Choice">
          <xsd:enumeration value="Forms"/>
          <xsd:enumeration value="Price List"/>
          <xsd:enumeration value="RMA"/>
          <xsd:enumeration value="Contacts"/>
        </xsd:restriction>
      </xsd:simpleType>
    </xsd:element>
    <xsd:element name="Status" ma:index="3" nillable="true" ma:displayName="Status" ma:default="New" ma:description="Is this ready to put on Backoffice.animatics.com website?" ma:format="Dropdown" ma:internalName="Status">
      <xsd:simpleType>
        <xsd:restriction base="dms:Choice">
          <xsd:enumeration value="New"/>
          <xsd:enumeration value="Review"/>
          <xsd:enumeration value="Ready"/>
          <xsd:enumeration value="Uploaded"/>
          <xsd:enumeration value="Verified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5145B-D716-44DD-9E7B-D13CA60E5064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4c2f100a-f477-4651-b120-ab080af013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4CC24A-4809-4354-AD81-5ADF99790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f100a-f477-4651-b120-ab080af01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AFFCD3-53B8-4AAB-978A-9B11C293E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Generator</vt:lpstr>
      <vt:lpstr>DS-Version</vt:lpstr>
      <vt:lpstr>DS-Current</vt:lpstr>
      <vt:lpstr>CD-Flange</vt:lpstr>
      <vt:lpstr>CD-DCVoltage</vt:lpstr>
      <vt:lpstr>CD-Stack</vt:lpstr>
      <vt:lpstr>CD-Speed</vt:lpstr>
      <vt:lpstr>CD-Brake</vt:lpstr>
      <vt:lpstr>CD-StallTorque</vt:lpstr>
      <vt:lpstr>BOT-Series</vt:lpstr>
      <vt:lpstr>BOT-X</vt:lpstr>
      <vt:lpstr>BOT-Y</vt:lpstr>
      <vt:lpstr>BOT-Input Size</vt:lpstr>
      <vt:lpstr>BOT-Reduction</vt:lpstr>
      <vt:lpstr>M-Frame</vt:lpstr>
      <vt:lpstr>M-Stack</vt:lpstr>
      <vt:lpstr>M-Class</vt:lpstr>
      <vt:lpstr>M-Series</vt:lpstr>
      <vt:lpstr>M-DE</vt:lpstr>
      <vt:lpstr>M-BRK</vt:lpstr>
      <vt:lpstr>M-Fieldbus</vt:lpstr>
      <vt:lpstr>M-Expansion</vt:lpstr>
      <vt:lpstr>G-Frame</vt:lpstr>
      <vt:lpstr>G-Type</vt:lpstr>
      <vt:lpstr>G-Ratio</vt:lpstr>
      <vt:lpstr>G-Interface</vt:lpstr>
      <vt:lpstr>A-Type</vt:lpstr>
      <vt:lpstr>RA-Series</vt:lpstr>
      <vt:lpstr>RA-Hole</vt:lpstr>
      <vt:lpstr>A-Length</vt:lpstr>
      <vt:lpstr>A-Pitch</vt:lpstr>
      <vt:lpstr>A-Option</vt:lpstr>
      <vt:lpstr>A-Interface</vt:lpstr>
      <vt:lpstr>RA-Input Shaft</vt:lpstr>
      <vt:lpstr>RA-Orientation</vt:lpstr>
      <vt:lpstr>RA-Grease</vt:lpstr>
      <vt:lpstr>A-Special</vt:lpstr>
    </vt:vector>
  </TitlesOfParts>
  <Company>Moog Components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Tank, Vaibhav</dc:creator>
  <cp:lastModifiedBy>Burke, Benjamin</cp:lastModifiedBy>
  <cp:lastPrinted>2014-12-02T21:52:03Z</cp:lastPrinted>
  <dcterms:created xsi:type="dcterms:W3CDTF">2014-11-11T21:39:33Z</dcterms:created>
  <dcterms:modified xsi:type="dcterms:W3CDTF">2022-11-30T22:46:23Z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0x0101004151658337064D409784B1282DB06B22</vt:lpwstr>
  </property>
  <property fmtid="{D5CDD505-2E9C-101B-9397-08002B2CF9AE}" pid="3" name="TitusGUID">
    <vt:lpwstr>5e435f18-7071-47af-b4af-5f971298b53e</vt:lpwstr>
  </property>
  <property fmtid="{D5CDD505-2E9C-101B-9397-08002B2CF9AE}" pid="4" name="techData">
    <vt:lpwstr>Yes</vt:lpwstr>
  </property>
  <property fmtid="{D5CDD505-2E9C-101B-9397-08002B2CF9AE}" pid="5" name="jurisdiction">
    <vt:lpwstr>EAR</vt:lpwstr>
  </property>
  <property fmtid="{D5CDD505-2E9C-101B-9397-08002B2CF9AE}" pid="6" name="techDataClassification">
    <vt:lpwstr>EAR99</vt:lpwstr>
  </property>
  <property fmtid="{D5CDD505-2E9C-101B-9397-08002B2CF9AE}" pid="7" name="notes">
    <vt:lpwstr/>
  </property>
  <property fmtid="{D5CDD505-2E9C-101B-9397-08002B2CF9AE}" pid="8" name="VisualMarking">
    <vt:lpwstr>Header</vt:lpwstr>
  </property>
</Properties>
</file>